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2" windowHeight="7872" activeTab="2"/>
  </bookViews>
  <sheets>
    <sheet name="KD=640" sheetId="1" r:id="rId1"/>
    <sheet name="KD=920" sheetId="2" r:id="rId2"/>
    <sheet name="KD=980" sheetId="4" r:id="rId3"/>
  </sheets>
  <calcPr calcId="124519"/>
</workbook>
</file>

<file path=xl/calcChain.xml><?xml version="1.0" encoding="utf-8"?>
<calcChain xmlns="http://schemas.openxmlformats.org/spreadsheetml/2006/main">
  <c r="M183" i="4"/>
  <c r="M194" i="2"/>
  <c r="M193"/>
  <c r="M188"/>
  <c r="M186"/>
  <c r="M184"/>
  <c r="M183"/>
  <c r="M182"/>
  <c r="M181"/>
  <c r="M73"/>
  <c r="M194" i="1"/>
  <c r="M193"/>
  <c r="M188"/>
  <c r="M186"/>
  <c r="M184"/>
  <c r="M183"/>
  <c r="M182"/>
  <c r="M181"/>
  <c r="M73"/>
  <c r="J186" i="4"/>
  <c r="J184"/>
  <c r="J186" i="2"/>
  <c r="L186" i="1"/>
  <c r="J186"/>
  <c r="J194" i="4"/>
  <c r="J193"/>
  <c r="J192"/>
  <c r="J191"/>
  <c r="J190"/>
  <c r="J189"/>
  <c r="J188"/>
  <c r="J187"/>
  <c r="J185"/>
  <c r="J183"/>
  <c r="J182"/>
  <c r="J181"/>
  <c r="K180"/>
  <c r="J180"/>
  <c r="K179"/>
  <c r="J179"/>
  <c r="J178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J162"/>
  <c r="J161"/>
  <c r="J160"/>
  <c r="J159"/>
  <c r="J158"/>
  <c r="J154"/>
  <c r="E154"/>
  <c r="J153"/>
  <c r="E153"/>
  <c r="J152"/>
  <c r="J151"/>
  <c r="J150"/>
  <c r="J149"/>
  <c r="J148"/>
  <c r="J147"/>
  <c r="J146"/>
  <c r="K145"/>
  <c r="J145"/>
  <c r="F145"/>
  <c r="G141"/>
  <c r="J138"/>
  <c r="J137"/>
  <c r="J136"/>
  <c r="J135"/>
  <c r="J134"/>
  <c r="J132"/>
  <c r="J131"/>
  <c r="J130"/>
  <c r="J129"/>
  <c r="J128"/>
  <c r="J127"/>
  <c r="J125"/>
  <c r="O124"/>
  <c r="J124"/>
  <c r="K123"/>
  <c r="K183" s="1"/>
  <c r="J123"/>
  <c r="J122"/>
  <c r="J118"/>
  <c r="E118"/>
  <c r="J116"/>
  <c r="J115"/>
  <c r="G108"/>
  <c r="J105"/>
  <c r="J104"/>
  <c r="J103"/>
  <c r="J102"/>
  <c r="J101"/>
  <c r="K100"/>
  <c r="K102" s="1"/>
  <c r="K118" s="1"/>
  <c r="J100"/>
  <c r="J99"/>
  <c r="K98"/>
  <c r="K116" s="1"/>
  <c r="K152" s="1"/>
  <c r="J98"/>
  <c r="K97"/>
  <c r="K153" s="1"/>
  <c r="K154" s="1"/>
  <c r="J97"/>
  <c r="J96"/>
  <c r="J95"/>
  <c r="K94"/>
  <c r="J94"/>
  <c r="J93"/>
  <c r="J91"/>
  <c r="J90"/>
  <c r="J89"/>
  <c r="J88"/>
  <c r="J87"/>
  <c r="J85"/>
  <c r="J84"/>
  <c r="K82"/>
  <c r="K177" s="1"/>
  <c r="J82"/>
  <c r="D82"/>
  <c r="J81"/>
  <c r="J80"/>
  <c r="J79"/>
  <c r="J78"/>
  <c r="J77"/>
  <c r="J76"/>
  <c r="J75"/>
  <c r="J74"/>
  <c r="J73"/>
  <c r="J71"/>
  <c r="J70"/>
  <c r="K82" i="2"/>
  <c r="J194"/>
  <c r="J193"/>
  <c r="J192"/>
  <c r="J191"/>
  <c r="J190"/>
  <c r="J189"/>
  <c r="J188"/>
  <c r="J187"/>
  <c r="J185"/>
  <c r="J184"/>
  <c r="J183"/>
  <c r="J182"/>
  <c r="J181"/>
  <c r="K180"/>
  <c r="J180"/>
  <c r="K179"/>
  <c r="J179"/>
  <c r="J178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J162"/>
  <c r="J161"/>
  <c r="J160"/>
  <c r="J159"/>
  <c r="J158"/>
  <c r="J154"/>
  <c r="E154"/>
  <c r="J153"/>
  <c r="E153"/>
  <c r="J152"/>
  <c r="J151"/>
  <c r="J150"/>
  <c r="J149"/>
  <c r="J148"/>
  <c r="J147"/>
  <c r="J146"/>
  <c r="K145"/>
  <c r="J145"/>
  <c r="F145"/>
  <c r="G141"/>
  <c r="J138"/>
  <c r="J137"/>
  <c r="J136"/>
  <c r="J135"/>
  <c r="J134"/>
  <c r="J132"/>
  <c r="J131"/>
  <c r="J130"/>
  <c r="J129"/>
  <c r="J128"/>
  <c r="J127"/>
  <c r="J125"/>
  <c r="O124"/>
  <c r="J124"/>
  <c r="K123"/>
  <c r="K183" s="1"/>
  <c r="J123"/>
  <c r="J122"/>
  <c r="J118"/>
  <c r="E118"/>
  <c r="J116"/>
  <c r="J115"/>
  <c r="G108"/>
  <c r="J105"/>
  <c r="J104"/>
  <c r="J103"/>
  <c r="J102"/>
  <c r="J101"/>
  <c r="K100"/>
  <c r="K102" s="1"/>
  <c r="K118" s="1"/>
  <c r="J100"/>
  <c r="J99"/>
  <c r="K98"/>
  <c r="K116" s="1"/>
  <c r="K152" s="1"/>
  <c r="J98"/>
  <c r="K97"/>
  <c r="K153" s="1"/>
  <c r="K154" s="1"/>
  <c r="J97"/>
  <c r="J96"/>
  <c r="J95"/>
  <c r="K94"/>
  <c r="J94"/>
  <c r="J93"/>
  <c r="J91"/>
  <c r="J90"/>
  <c r="J89"/>
  <c r="J88"/>
  <c r="J87"/>
  <c r="J85"/>
  <c r="J84"/>
  <c r="K177"/>
  <c r="J82"/>
  <c r="D82"/>
  <c r="J81"/>
  <c r="J80"/>
  <c r="J79"/>
  <c r="J78"/>
  <c r="J77"/>
  <c r="J76"/>
  <c r="J75"/>
  <c r="J74"/>
  <c r="J73"/>
  <c r="J71"/>
  <c r="J70"/>
  <c r="K192" i="1"/>
  <c r="K191"/>
  <c r="K181"/>
  <c r="K180"/>
  <c r="K179"/>
  <c r="K177"/>
  <c r="K176"/>
  <c r="K175"/>
  <c r="K174"/>
  <c r="K173"/>
  <c r="K172"/>
  <c r="K171"/>
  <c r="K170"/>
  <c r="K169"/>
  <c r="K168"/>
  <c r="J154"/>
  <c r="E154"/>
  <c r="O124"/>
  <c r="J116"/>
  <c r="J115"/>
  <c r="J146"/>
  <c r="K145"/>
  <c r="F145"/>
  <c r="J128"/>
  <c r="K123"/>
  <c r="K183" s="1"/>
  <c r="J118"/>
  <c r="E118"/>
  <c r="K94"/>
  <c r="J105"/>
  <c r="K100"/>
  <c r="K102" s="1"/>
  <c r="K118" s="1"/>
  <c r="K122" s="1"/>
  <c r="K182" s="1"/>
  <c r="J100"/>
  <c r="K98"/>
  <c r="K115" s="1"/>
  <c r="K97"/>
  <c r="K82"/>
  <c r="D82"/>
  <c r="J194"/>
  <c r="E153"/>
  <c r="J77"/>
  <c r="J159"/>
  <c r="J160"/>
  <c r="J161"/>
  <c r="J162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7"/>
  <c r="J188"/>
  <c r="J189"/>
  <c r="J190"/>
  <c r="J191"/>
  <c r="J192"/>
  <c r="J193"/>
  <c r="J158"/>
  <c r="J153"/>
  <c r="J145"/>
  <c r="J147"/>
  <c r="J148"/>
  <c r="J149"/>
  <c r="J150"/>
  <c r="J151"/>
  <c r="J152"/>
  <c r="G141"/>
  <c r="J138"/>
  <c r="J135"/>
  <c r="J136"/>
  <c r="J137"/>
  <c r="J134"/>
  <c r="J123"/>
  <c r="J124"/>
  <c r="J125"/>
  <c r="J127"/>
  <c r="J129"/>
  <c r="J130"/>
  <c r="J131"/>
  <c r="J132"/>
  <c r="J122"/>
  <c r="J71"/>
  <c r="J73"/>
  <c r="J74"/>
  <c r="J75"/>
  <c r="J76"/>
  <c r="J78"/>
  <c r="J79"/>
  <c r="J80"/>
  <c r="J81"/>
  <c r="J82"/>
  <c r="J84"/>
  <c r="J85"/>
  <c r="J87"/>
  <c r="J88"/>
  <c r="J89"/>
  <c r="J90"/>
  <c r="J91"/>
  <c r="J93"/>
  <c r="J94"/>
  <c r="J95"/>
  <c r="J96"/>
  <c r="J97"/>
  <c r="J98"/>
  <c r="J99"/>
  <c r="J101"/>
  <c r="J102"/>
  <c r="J103"/>
  <c r="J104"/>
  <c r="G108"/>
  <c r="J70"/>
  <c r="K153" l="1"/>
  <c r="K154" s="1"/>
  <c r="K181" i="4"/>
  <c r="M181" s="1"/>
  <c r="K122"/>
  <c r="K182" s="1"/>
  <c r="M182" s="1"/>
  <c r="K99"/>
  <c r="K101" s="1"/>
  <c r="K103"/>
  <c r="P105"/>
  <c r="P109"/>
  <c r="K114"/>
  <c r="K115"/>
  <c r="K124"/>
  <c r="K184" s="1"/>
  <c r="M184" s="1"/>
  <c r="K127"/>
  <c r="K131"/>
  <c r="K191" s="1"/>
  <c r="K134"/>
  <c r="K135" s="1"/>
  <c r="K138"/>
  <c r="K192" s="1"/>
  <c r="K181" i="2"/>
  <c r="K122"/>
  <c r="K182" s="1"/>
  <c r="K99"/>
  <c r="K101" s="1"/>
  <c r="K103"/>
  <c r="P105"/>
  <c r="P109"/>
  <c r="K114"/>
  <c r="K115"/>
  <c r="K127"/>
  <c r="K131"/>
  <c r="K191" s="1"/>
  <c r="K134"/>
  <c r="K135" s="1"/>
  <c r="K138"/>
  <c r="K192" s="1"/>
  <c r="K99" i="1"/>
  <c r="K101" s="1"/>
  <c r="K103"/>
  <c r="K124"/>
  <c r="K127"/>
  <c r="K131"/>
  <c r="K134"/>
  <c r="K135" s="1"/>
  <c r="K138"/>
  <c r="P105"/>
  <c r="P109"/>
  <c r="K116"/>
  <c r="K152" s="1"/>
  <c r="K114"/>
  <c r="K124" i="2" l="1"/>
  <c r="K125" s="1"/>
  <c r="K125" i="1"/>
  <c r="K184"/>
  <c r="K128"/>
  <c r="K188" s="1"/>
  <c r="K187"/>
  <c r="K187" i="4"/>
  <c r="K128"/>
  <c r="K188" s="1"/>
  <c r="M188" s="1"/>
  <c r="K125"/>
  <c r="K159"/>
  <c r="K147"/>
  <c r="K105"/>
  <c r="K187" i="2"/>
  <c r="K128"/>
  <c r="K188" s="1"/>
  <c r="K159"/>
  <c r="K147"/>
  <c r="K105"/>
  <c r="K159" i="1"/>
  <c r="K147"/>
  <c r="K105"/>
  <c r="K184" i="2" l="1"/>
  <c r="K136" i="1"/>
  <c r="K137" s="1"/>
  <c r="K185"/>
  <c r="K129"/>
  <c r="K158" i="4"/>
  <c r="K160" s="1"/>
  <c r="K146"/>
  <c r="K148" s="1"/>
  <c r="K149" s="1"/>
  <c r="K193" s="1"/>
  <c r="M193" s="1"/>
  <c r="K106"/>
  <c r="K107" s="1"/>
  <c r="K186" s="1"/>
  <c r="M186" s="1"/>
  <c r="K185"/>
  <c r="K129"/>
  <c r="K136"/>
  <c r="K137" s="1"/>
  <c r="K158" i="2"/>
  <c r="K160" s="1"/>
  <c r="K146"/>
  <c r="K148" s="1"/>
  <c r="K149" s="1"/>
  <c r="K193" s="1"/>
  <c r="K106"/>
  <c r="K107" s="1"/>
  <c r="K186" s="1"/>
  <c r="K185"/>
  <c r="K129"/>
  <c r="K136"/>
  <c r="K137" s="1"/>
  <c r="K158" i="1"/>
  <c r="K160" s="1"/>
  <c r="K146"/>
  <c r="K148" s="1"/>
  <c r="K149" s="1"/>
  <c r="K193" s="1"/>
  <c r="K106"/>
  <c r="K107" s="1"/>
  <c r="K186" s="1"/>
  <c r="K161" l="1"/>
  <c r="K194"/>
  <c r="K130"/>
  <c r="K190" s="1"/>
  <c r="K189"/>
  <c r="K189" i="4"/>
  <c r="K130"/>
  <c r="K190" s="1"/>
  <c r="K194"/>
  <c r="M194" s="1"/>
  <c r="K161"/>
  <c r="K189" i="2"/>
  <c r="K130"/>
  <c r="K190" s="1"/>
  <c r="K194"/>
  <c r="K161"/>
</calcChain>
</file>

<file path=xl/sharedStrings.xml><?xml version="1.0" encoding="utf-8"?>
<sst xmlns="http://schemas.openxmlformats.org/spreadsheetml/2006/main" count="1070" uniqueCount="271">
  <si>
    <t>Cs</t>
  </si>
  <si>
    <t>Dp</t>
  </si>
  <si>
    <t xml:space="preserve">CALCULATION OF CIRCULAR ISOLATOR PROPERTIES </t>
  </si>
  <si>
    <t>Units</t>
  </si>
  <si>
    <t>KN and mm</t>
  </si>
  <si>
    <t>Rubber propertis</t>
  </si>
  <si>
    <t>Rubber shear Modulus</t>
  </si>
  <si>
    <t>Rubber's  Elongation at break</t>
  </si>
  <si>
    <t>Bearing Dimension</t>
  </si>
  <si>
    <t>Overall diameter</t>
  </si>
  <si>
    <t xml:space="preserve">Number of Rubber Layers </t>
  </si>
  <si>
    <t xml:space="preserve">Lead Diameter </t>
  </si>
  <si>
    <t xml:space="preserve">Shim thickness </t>
  </si>
  <si>
    <t xml:space="preserve">Side cover Rubber thickness </t>
  </si>
  <si>
    <t>Top mounting plate thicness</t>
  </si>
  <si>
    <t>Bottom mounting Plate Thickness</t>
  </si>
  <si>
    <t>Internal Plate Thickness</t>
  </si>
  <si>
    <t>Isolator Height</t>
  </si>
  <si>
    <t>Design Displacement</t>
  </si>
  <si>
    <t>Maximum Displacement</t>
  </si>
  <si>
    <t>Project Loads</t>
  </si>
  <si>
    <t xml:space="preserve">FS at Undefomed condition </t>
  </si>
  <si>
    <t>FS at Maximum Displacement</t>
  </si>
  <si>
    <t xml:space="preserve">Rotaton appied on bearing </t>
  </si>
  <si>
    <t>Load at undeformed condition</t>
  </si>
  <si>
    <t xml:space="preserve">Load at maximum displacement </t>
  </si>
  <si>
    <t>Rubber Properties</t>
  </si>
  <si>
    <t>Bulk Modulus</t>
  </si>
  <si>
    <t>Elastic Modulus</t>
  </si>
  <si>
    <t>Empirical Constant</t>
  </si>
  <si>
    <t>Calculation Dimensions</t>
  </si>
  <si>
    <t>Top Height of Rubber</t>
  </si>
  <si>
    <t>Bonded Diameter</t>
  </si>
  <si>
    <t>Gross Bonded Area</t>
  </si>
  <si>
    <t xml:space="preserve">Net Bonded Area </t>
  </si>
  <si>
    <t>Net Bonded Area  including cover</t>
  </si>
  <si>
    <t xml:space="preserve">Layer Shape Factor </t>
  </si>
  <si>
    <t>Effective Elastic Modulus</t>
  </si>
  <si>
    <t>Compression modulus (For capacity calculation)</t>
  </si>
  <si>
    <t>Vertical Stiffness Modulus (including bulk modulus affect)</t>
  </si>
  <si>
    <t xml:space="preserve">Compression stiffness </t>
  </si>
  <si>
    <t>Compression stiffness of Isolator</t>
  </si>
  <si>
    <t>This value is rounded to reflect the level of accuracy of measurement of Kv</t>
  </si>
  <si>
    <t>Area Reduction factor</t>
  </si>
  <si>
    <t xml:space="preserve">Vertical Capacities at non -zero displacement are reduced by the area reduction factor R. This is calculated as the  area of overlap of the displaced top and </t>
  </si>
  <si>
    <t>Bottom bonded areas</t>
  </si>
  <si>
    <t>Round (X):=If (x-floor(x)&lt;0.5floor(x),ceil(x))</t>
  </si>
  <si>
    <t>Shear Stiffness Properties</t>
  </si>
  <si>
    <t xml:space="preserve">Yield Stiffness </t>
  </si>
  <si>
    <t>Note:</t>
  </si>
  <si>
    <t xml:space="preserve">The values of Ku, Qd and Fy are provided only for explict bilinear modleling of elastomeric Isolator . The value of Ku has little influence on the final </t>
  </si>
  <si>
    <t>Elastic Stiffness</t>
  </si>
  <si>
    <t xml:space="preserve">Characteristic Strength </t>
  </si>
  <si>
    <t>Yield Force</t>
  </si>
  <si>
    <t xml:space="preserve">Yield Dislacement </t>
  </si>
  <si>
    <t>Design Displacement  Properties</t>
  </si>
  <si>
    <t>Shear Force at DM</t>
  </si>
  <si>
    <t xml:space="preserve">Shear Force at DM </t>
  </si>
  <si>
    <t>Energy Dislacement per Cycle</t>
  </si>
  <si>
    <t>Damping ratio</t>
  </si>
  <si>
    <t>Shear Strain in  rubber at DM</t>
  </si>
  <si>
    <t>Properties at maximum displacement</t>
  </si>
  <si>
    <t>Due to natural rubber's stress-strain dependency, Kr at maximum dislacement is expected to be 95 % of Kr at DD</t>
  </si>
  <si>
    <t>Vertical Load Capacity</t>
  </si>
  <si>
    <t>Vertical Load Capacity is controlled by the horizontal displacement of the bearing . The applied rotation and the factor of safety on ultimate elongation.</t>
  </si>
  <si>
    <t>The capacity is estimated at zero displacement and at the dmax to estimate  the factor of safety.</t>
  </si>
  <si>
    <t>Vertical Load capacity at Undeformed Position</t>
  </si>
  <si>
    <t xml:space="preserve">Displacement </t>
  </si>
  <si>
    <t xml:space="preserve">Shear  strain available for axial load  </t>
  </si>
  <si>
    <t xml:space="preserve">Axial load producing eeq additional shear strain </t>
  </si>
  <si>
    <t>Buckling Axial Load  Ref.7 Page 124</t>
  </si>
  <si>
    <t xml:space="preserve">Minimum  of Strain  and Buckling </t>
  </si>
  <si>
    <t>Allowable Load at Undeformed condition</t>
  </si>
  <si>
    <t>Vertical Load Capacity at the Maximum Displacement (DTM)</t>
  </si>
  <si>
    <t xml:space="preserve">Maximum Displacement </t>
  </si>
  <si>
    <t xml:space="preserve">Area Reduction Factor </t>
  </si>
  <si>
    <t>Shear Strain Avalable for axial load</t>
  </si>
  <si>
    <t>Based on Aspect Ratio ot this bearing. Capacity is modified (increased) by a factor of 1.25</t>
  </si>
  <si>
    <t xml:space="preserve">Buckling Axial Load  </t>
  </si>
  <si>
    <t>Allowable Load at Maximum Displacement</t>
  </si>
  <si>
    <t>SUMMARY</t>
  </si>
  <si>
    <t>Isolator  Displacements</t>
  </si>
  <si>
    <t>Isolator Overall   Height</t>
  </si>
  <si>
    <t>Layer Thickness</t>
  </si>
  <si>
    <t>Isolator Properties</t>
  </si>
  <si>
    <t xml:space="preserve">Design Maximum Displacement </t>
  </si>
  <si>
    <t xml:space="preserve">Maximum Corner Displacement </t>
  </si>
  <si>
    <t>Yield Stiffness</t>
  </si>
  <si>
    <t>Characterictic  Strength</t>
  </si>
  <si>
    <t>Yield Displacement</t>
  </si>
  <si>
    <t xml:space="preserve">Vertical Stiffness </t>
  </si>
  <si>
    <t>Effective Stiffness at DM</t>
  </si>
  <si>
    <t xml:space="preserve">Energy Dissipated per cycle </t>
  </si>
  <si>
    <t xml:space="preserve">Equivalent Viscous Damping Ratio at Design Displacement </t>
  </si>
  <si>
    <t xml:space="preserve">Shear Strain in Rubber at Design Displacement </t>
  </si>
  <si>
    <t xml:space="preserve">Shear Strain in Rubber at Maximum Displacement </t>
  </si>
  <si>
    <t>Allowable Load  at Undeformed Condition (with a FS of 3.0)</t>
  </si>
  <si>
    <t>Allowable Load  at Maximum Displacement</t>
  </si>
  <si>
    <t>G           =</t>
  </si>
  <si>
    <t>D           =</t>
  </si>
  <si>
    <t>Dp        =</t>
  </si>
  <si>
    <t>Layer thickness</t>
  </si>
  <si>
    <t>ts          =</t>
  </si>
  <si>
    <t>Cs          =</t>
  </si>
  <si>
    <t>FS zero =</t>
  </si>
  <si>
    <t>Pzero    =</t>
  </si>
  <si>
    <t>ti</t>
  </si>
  <si>
    <t>K             =</t>
  </si>
  <si>
    <t>K           =</t>
  </si>
  <si>
    <t>Tr           =</t>
  </si>
  <si>
    <t>Mandrel Hole Area</t>
  </si>
  <si>
    <t>Ec=</t>
  </si>
  <si>
    <t>Ev=</t>
  </si>
  <si>
    <t>Kv=</t>
  </si>
  <si>
    <t>Kd</t>
  </si>
  <si>
    <t>Qd</t>
  </si>
  <si>
    <t>Fy</t>
  </si>
  <si>
    <t>Effective Stiffness</t>
  </si>
  <si>
    <t>Rotation</t>
  </si>
  <si>
    <t>Experience on elastomeric isolator indicate that the use of R (dmax)  is conservative and isolator have highter strain and bukling load capacities</t>
  </si>
  <si>
    <t xml:space="preserve">D      </t>
  </si>
  <si>
    <t>N</t>
  </si>
  <si>
    <t>Kc</t>
  </si>
  <si>
    <t xml:space="preserve">N        </t>
  </si>
  <si>
    <t>KSI</t>
  </si>
  <si>
    <t>IN</t>
  </si>
  <si>
    <t>MM</t>
  </si>
  <si>
    <t>Properties are checked at this displacement</t>
  </si>
  <si>
    <t>Capacity is cheched at this displacement</t>
  </si>
  <si>
    <t>in</t>
  </si>
  <si>
    <t>No rotations are appied on the isolators</t>
  </si>
  <si>
    <t>This load is estimating from project drawing</t>
  </si>
  <si>
    <t>This load is provided in  project drawing</t>
  </si>
  <si>
    <t>kips</t>
  </si>
  <si>
    <t>ksi</t>
  </si>
  <si>
    <t>4*G</t>
  </si>
  <si>
    <t>k=if(G&lt;0.050ksi,0.9,if(G&lt;0.07ksi,0.85,if(G&lt;0.09ksi,0.75,if(g&lt;0.15ksi,0.65,0))))</t>
  </si>
  <si>
    <t>k=</t>
  </si>
  <si>
    <t>Reference 4-MRPRA Technical Bulletin</t>
  </si>
  <si>
    <t>ti*N</t>
  </si>
  <si>
    <t xml:space="preserve">B=D*2*Cs </t>
  </si>
  <si>
    <t>in^2</t>
  </si>
  <si>
    <t>An=Ab-Ap</t>
  </si>
  <si>
    <t>S</t>
  </si>
  <si>
    <t>Eo*(1+2*k*S^2)</t>
  </si>
  <si>
    <t>1/[1/(Eo*(1+2*k*S^2)+(1/K)]</t>
  </si>
  <si>
    <t>kip/in</t>
  </si>
  <si>
    <t>Ae*G/Tr</t>
  </si>
  <si>
    <t>kips/in</t>
  </si>
  <si>
    <t>Ke            =</t>
  </si>
  <si>
    <t>10*Kd</t>
  </si>
  <si>
    <t>Qd           =</t>
  </si>
  <si>
    <t>kip</t>
  </si>
  <si>
    <t>Fy            =</t>
  </si>
  <si>
    <t>Qd*Ke/(Ke-Kd)</t>
  </si>
  <si>
    <t>Ev*An/(N*ti)</t>
  </si>
  <si>
    <t>kip-in</t>
  </si>
  <si>
    <t>KIP</t>
  </si>
  <si>
    <t>4*Qd*(∆-∆y)</t>
  </si>
  <si>
    <t>B(D)    =</t>
  </si>
  <si>
    <t>∆/Tr</t>
  </si>
  <si>
    <t>∆zero      =</t>
  </si>
  <si>
    <t xml:space="preserve">when </t>
  </si>
  <si>
    <r>
      <t>t</t>
    </r>
    <r>
      <rPr>
        <b/>
        <vertAlign val="subscript"/>
        <sz val="11"/>
        <color theme="1"/>
        <rFont val="Times New Roman"/>
        <family val="1"/>
      </rPr>
      <t xml:space="preserve">i </t>
    </r>
    <r>
      <rPr>
        <b/>
        <sz val="11"/>
        <color theme="1"/>
        <rFont val="Times New Roman"/>
        <family val="1"/>
      </rPr>
      <t xml:space="preserve">          =</t>
    </r>
  </si>
  <si>
    <r>
      <t>t</t>
    </r>
    <r>
      <rPr>
        <b/>
        <vertAlign val="subscript"/>
        <sz val="11"/>
        <color theme="1"/>
        <rFont val="Times New Roman"/>
        <family val="1"/>
      </rPr>
      <t>tp</t>
    </r>
    <r>
      <rPr>
        <b/>
        <sz val="11"/>
        <color theme="1"/>
        <rFont val="Times New Roman"/>
        <family val="1"/>
      </rPr>
      <t xml:space="preserve">        =</t>
    </r>
  </si>
  <si>
    <r>
      <t>t</t>
    </r>
    <r>
      <rPr>
        <b/>
        <vertAlign val="subscript"/>
        <sz val="11"/>
        <color theme="1"/>
        <rFont val="Times New Roman"/>
        <family val="1"/>
      </rPr>
      <t xml:space="preserve">bp </t>
    </r>
    <r>
      <rPr>
        <b/>
        <sz val="11"/>
        <color theme="1"/>
        <rFont val="Times New Roman"/>
        <family val="1"/>
      </rPr>
      <t xml:space="preserve">      =</t>
    </r>
  </si>
  <si>
    <r>
      <t>t</t>
    </r>
    <r>
      <rPr>
        <b/>
        <vertAlign val="subscript"/>
        <sz val="11"/>
        <color theme="1"/>
        <rFont val="Times New Roman"/>
        <family val="1"/>
      </rPr>
      <t xml:space="preserve">ip </t>
    </r>
    <r>
      <rPr>
        <b/>
        <sz val="11"/>
        <color theme="1"/>
        <rFont val="Times New Roman"/>
        <family val="1"/>
      </rPr>
      <t xml:space="preserve">       =</t>
    </r>
  </si>
  <si>
    <r>
      <t>H</t>
    </r>
    <r>
      <rPr>
        <b/>
        <vertAlign val="subscript"/>
        <sz val="11"/>
        <color theme="1"/>
        <rFont val="Times New Roman"/>
        <family val="1"/>
      </rPr>
      <t>isol</t>
    </r>
    <r>
      <rPr>
        <b/>
        <sz val="11"/>
        <color theme="1"/>
        <rFont val="Times New Roman"/>
        <family val="1"/>
      </rPr>
      <t xml:space="preserve">   =</t>
    </r>
  </si>
  <si>
    <r>
      <t>D</t>
    </r>
    <r>
      <rPr>
        <b/>
        <vertAlign val="subscript"/>
        <sz val="11"/>
        <color theme="1"/>
        <rFont val="Times New Roman"/>
        <family val="1"/>
      </rPr>
      <t xml:space="preserve">M </t>
    </r>
    <r>
      <rPr>
        <b/>
        <sz val="11"/>
        <color theme="1"/>
        <rFont val="Times New Roman"/>
        <family val="1"/>
      </rPr>
      <t xml:space="preserve">       =</t>
    </r>
  </si>
  <si>
    <r>
      <t>D</t>
    </r>
    <r>
      <rPr>
        <b/>
        <vertAlign val="subscript"/>
        <sz val="11"/>
        <color theme="1"/>
        <rFont val="Times New Roman"/>
        <family val="1"/>
      </rPr>
      <t xml:space="preserve">TM  </t>
    </r>
    <r>
      <rPr>
        <b/>
        <sz val="11"/>
        <color theme="1"/>
        <rFont val="Times New Roman"/>
        <family val="1"/>
      </rPr>
      <t xml:space="preserve">    =</t>
    </r>
  </si>
  <si>
    <r>
      <t>FS</t>
    </r>
    <r>
      <rPr>
        <b/>
        <vertAlign val="subscript"/>
        <sz val="11"/>
        <color theme="1"/>
        <rFont val="Times New Roman"/>
        <family val="1"/>
      </rPr>
      <t>DTM</t>
    </r>
    <r>
      <rPr>
        <b/>
        <sz val="11"/>
        <color theme="1"/>
        <rFont val="Times New Roman"/>
        <family val="1"/>
      </rPr>
      <t xml:space="preserve"> =</t>
    </r>
  </si>
  <si>
    <r>
      <t>P</t>
    </r>
    <r>
      <rPr>
        <b/>
        <vertAlign val="subscript"/>
        <sz val="11"/>
        <color theme="1"/>
        <rFont val="Times New Roman"/>
        <family val="1"/>
      </rPr>
      <t>DTM</t>
    </r>
    <r>
      <rPr>
        <b/>
        <sz val="11"/>
        <color theme="1"/>
        <rFont val="Times New Roman"/>
        <family val="1"/>
      </rPr>
      <t xml:space="preserve">    =</t>
    </r>
  </si>
  <si>
    <r>
      <t>E</t>
    </r>
    <r>
      <rPr>
        <b/>
        <vertAlign val="subscript"/>
        <sz val="11"/>
        <color theme="1"/>
        <rFont val="Times New Roman"/>
        <family val="1"/>
      </rPr>
      <t>0               =</t>
    </r>
  </si>
  <si>
    <r>
      <t>A</t>
    </r>
    <r>
      <rPr>
        <b/>
        <vertAlign val="subscript"/>
        <sz val="11"/>
        <color theme="1"/>
        <rFont val="Times New Roman"/>
        <family val="1"/>
      </rPr>
      <t>b</t>
    </r>
    <r>
      <rPr>
        <b/>
        <sz val="11"/>
        <color theme="1"/>
        <rFont val="Times New Roman"/>
        <family val="1"/>
      </rPr>
      <t>=π*B^2/4)       =</t>
    </r>
  </si>
  <si>
    <t>Ap=(π*Dp^2/4)</t>
  </si>
  <si>
    <t>Ae=π*D^2/4 -Ap</t>
  </si>
  <si>
    <t>S=0.25*π*(B^-Dp^2)/(π*B*ti)</t>
  </si>
  <si>
    <t>Δ          =</t>
  </si>
  <si>
    <r>
      <t>response of the structure at D</t>
    </r>
    <r>
      <rPr>
        <vertAlign val="subscript"/>
        <sz val="9"/>
        <color theme="1"/>
        <rFont val="Times New Roman"/>
        <family val="1"/>
      </rPr>
      <t>D</t>
    </r>
    <r>
      <rPr>
        <sz val="9"/>
        <color theme="1"/>
        <rFont val="Times New Roman"/>
        <family val="1"/>
      </rPr>
      <t xml:space="preserve"> or D</t>
    </r>
    <r>
      <rPr>
        <vertAlign val="subscript"/>
        <sz val="9"/>
        <color theme="1"/>
        <rFont val="Times New Roman"/>
        <family val="1"/>
      </rPr>
      <t xml:space="preserve">M </t>
    </r>
    <r>
      <rPr>
        <sz val="9"/>
        <color theme="1"/>
        <rFont val="Times New Roman"/>
        <family val="1"/>
      </rPr>
      <t>. In general relationship Ku=10*Kr.adequarely modles  a lead rubber isolator</t>
    </r>
  </si>
  <si>
    <t>1.3*ksi*(π/4)*Dp^2</t>
  </si>
  <si>
    <t>∆y           =</t>
  </si>
  <si>
    <t>Fmax(∆) =</t>
  </si>
  <si>
    <t>Qd+Kd*∆</t>
  </si>
  <si>
    <t>Keff(∆)   =</t>
  </si>
  <si>
    <t>Qd+Kd*∆/∆</t>
  </si>
  <si>
    <r>
      <t xml:space="preserve">EDC(∆)  </t>
    </r>
    <r>
      <rPr>
        <sz val="10"/>
        <color theme="1"/>
        <rFont val="Times New Roman"/>
        <family val="1"/>
      </rPr>
      <t>=</t>
    </r>
  </si>
  <si>
    <r>
      <t>B(D</t>
    </r>
    <r>
      <rPr>
        <b/>
        <vertAlign val="subscript"/>
        <sz val="10"/>
        <color theme="1"/>
        <rFont val="Times New Roman"/>
        <family val="1"/>
      </rPr>
      <t>M</t>
    </r>
    <r>
      <rPr>
        <b/>
        <sz val="10"/>
        <color theme="1"/>
        <rFont val="Times New Roman"/>
        <family val="1"/>
      </rPr>
      <t>)    =</t>
    </r>
  </si>
  <si>
    <t>EDC(∆)/(2*π*∆^2*Keff(∆)</t>
  </si>
  <si>
    <r>
      <t>Shear Force at D</t>
    </r>
    <r>
      <rPr>
        <vertAlign val="subscript"/>
        <sz val="9"/>
        <color theme="1"/>
        <rFont val="Times New Roman"/>
        <family val="1"/>
      </rPr>
      <t>TM</t>
    </r>
    <r>
      <rPr>
        <sz val="9"/>
        <color theme="1"/>
        <rFont val="Times New Roman"/>
        <family val="1"/>
      </rPr>
      <t xml:space="preserve"> </t>
    </r>
  </si>
  <si>
    <t>Fm'max(∆)</t>
  </si>
  <si>
    <t>Qd+0.95*Kd*∆</t>
  </si>
  <si>
    <r>
      <t>Fm'max(D</t>
    </r>
    <r>
      <rPr>
        <b/>
        <vertAlign val="subscript"/>
        <sz val="10"/>
        <color theme="1"/>
        <rFont val="Times New Roman"/>
        <family val="1"/>
      </rPr>
      <t>TM</t>
    </r>
    <r>
      <rPr>
        <b/>
        <sz val="10"/>
        <color theme="1"/>
        <rFont val="Times New Roman"/>
        <family val="1"/>
      </rPr>
      <t>)</t>
    </r>
  </si>
  <si>
    <r>
      <t>Effective Stiffness D</t>
    </r>
    <r>
      <rPr>
        <vertAlign val="subscript"/>
        <sz val="9"/>
        <color theme="1"/>
        <rFont val="Times New Roman"/>
        <family val="1"/>
      </rPr>
      <t>TM</t>
    </r>
  </si>
  <si>
    <t>Km'eff(∆)</t>
  </si>
  <si>
    <t>Qd+0.95*Kd*∆/∆</t>
  </si>
  <si>
    <r>
      <t>Keff(D</t>
    </r>
    <r>
      <rPr>
        <b/>
        <vertAlign val="subscript"/>
        <sz val="10"/>
        <color theme="1"/>
        <rFont val="Times New Roman"/>
        <family val="1"/>
      </rPr>
      <t>TM</t>
    </r>
    <r>
      <rPr>
        <b/>
        <sz val="10"/>
        <color theme="1"/>
        <rFont val="Times New Roman"/>
        <family val="1"/>
      </rPr>
      <t>)</t>
    </r>
  </si>
  <si>
    <t>EDCm(∆)</t>
  </si>
  <si>
    <r>
      <t>EDC</t>
    </r>
    <r>
      <rPr>
        <b/>
        <vertAlign val="subscript"/>
        <sz val="10"/>
        <color theme="1"/>
        <rFont val="Times New Roman"/>
        <family val="1"/>
      </rPr>
      <t>m</t>
    </r>
    <r>
      <rPr>
        <b/>
        <sz val="10"/>
        <color theme="1"/>
        <rFont val="Times New Roman"/>
        <family val="1"/>
      </rPr>
      <t>(D</t>
    </r>
    <r>
      <rPr>
        <b/>
        <vertAlign val="subscript"/>
        <sz val="10"/>
        <color theme="1"/>
        <rFont val="Times New Roman"/>
        <family val="1"/>
      </rPr>
      <t>TM</t>
    </r>
    <r>
      <rPr>
        <b/>
        <sz val="10"/>
        <color theme="1"/>
        <rFont val="Times New Roman"/>
        <family val="1"/>
      </rPr>
      <t>)</t>
    </r>
  </si>
  <si>
    <r>
      <t>b(D</t>
    </r>
    <r>
      <rPr>
        <b/>
        <vertAlign val="subscript"/>
        <sz val="10"/>
        <color theme="1"/>
        <rFont val="Times New Roman"/>
        <family val="1"/>
      </rPr>
      <t>TM</t>
    </r>
    <r>
      <rPr>
        <b/>
        <sz val="10"/>
        <color theme="1"/>
        <rFont val="Times New Roman"/>
        <family val="1"/>
      </rPr>
      <t>)</t>
    </r>
  </si>
  <si>
    <r>
      <t>Strain in rubber at D</t>
    </r>
    <r>
      <rPr>
        <vertAlign val="subscript"/>
        <sz val="9"/>
        <color theme="1"/>
        <rFont val="Times New Roman"/>
        <family val="1"/>
      </rPr>
      <t>TM</t>
    </r>
  </si>
  <si>
    <t>Shear Strain due to ∆zero and 0zero</t>
  </si>
  <si>
    <r>
      <t>e</t>
    </r>
    <r>
      <rPr>
        <b/>
        <vertAlign val="subscript"/>
        <sz val="11"/>
        <color theme="1"/>
        <rFont val="Times New Roman"/>
        <family val="1"/>
      </rPr>
      <t>avail</t>
    </r>
  </si>
  <si>
    <r>
      <t>Axial load producing</t>
    </r>
    <r>
      <rPr>
        <b/>
        <sz val="9"/>
        <color theme="1"/>
        <rFont val="Times New Roman"/>
        <family val="1"/>
      </rPr>
      <t xml:space="preserve"> e</t>
    </r>
    <r>
      <rPr>
        <b/>
        <vertAlign val="subscript"/>
        <sz val="9"/>
        <color theme="1"/>
        <rFont val="Times New Roman"/>
        <family val="1"/>
      </rPr>
      <t>eq</t>
    </r>
    <r>
      <rPr>
        <b/>
        <sz val="9"/>
        <color theme="1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additional shear strain </t>
    </r>
  </si>
  <si>
    <r>
      <t>Ec*Ab*e</t>
    </r>
    <r>
      <rPr>
        <b/>
        <vertAlign val="subscript"/>
        <sz val="9"/>
        <color theme="1"/>
        <rFont val="Times New Roman"/>
        <family val="1"/>
      </rPr>
      <t>avail</t>
    </r>
    <r>
      <rPr>
        <b/>
        <sz val="9"/>
        <color theme="1"/>
        <rFont val="Times New Roman"/>
        <family val="1"/>
      </rPr>
      <t>/(6*S)*(R(Δ</t>
    </r>
    <r>
      <rPr>
        <b/>
        <vertAlign val="subscript"/>
        <sz val="9"/>
        <color theme="1"/>
        <rFont val="Times New Roman"/>
        <family val="1"/>
      </rPr>
      <t>ZERO</t>
    </r>
    <r>
      <rPr>
        <b/>
        <sz val="9"/>
        <color theme="1"/>
        <rFont val="Times New Roman"/>
        <family val="1"/>
      </rPr>
      <t>)</t>
    </r>
  </si>
  <si>
    <r>
      <t xml:space="preserve">Pallowble </t>
    </r>
    <r>
      <rPr>
        <b/>
        <vertAlign val="subscript"/>
        <sz val="11"/>
        <color theme="1"/>
        <rFont val="Times New Roman"/>
        <family val="1"/>
      </rPr>
      <t>ZERO</t>
    </r>
    <r>
      <rPr>
        <b/>
        <sz val="11"/>
        <color theme="1"/>
        <rFont val="Times New Roman"/>
        <family val="1"/>
      </rPr>
      <t xml:space="preserve">=Pmin </t>
    </r>
    <r>
      <rPr>
        <b/>
        <vertAlign val="subscript"/>
        <sz val="11"/>
        <color theme="1"/>
        <rFont val="Times New Roman"/>
        <family val="1"/>
      </rPr>
      <t>ZERO</t>
    </r>
    <r>
      <rPr>
        <b/>
        <sz val="11"/>
        <color theme="1"/>
        <rFont val="Times New Roman"/>
        <family val="1"/>
      </rPr>
      <t>/3</t>
    </r>
  </si>
  <si>
    <r>
      <t>Shear Strain due to ∆eq  and q</t>
    </r>
    <r>
      <rPr>
        <vertAlign val="subscript"/>
        <sz val="9"/>
        <color theme="1"/>
        <rFont val="Times New Roman"/>
        <family val="1"/>
      </rPr>
      <t>D</t>
    </r>
  </si>
  <si>
    <r>
      <t>t</t>
    </r>
    <r>
      <rPr>
        <vertAlign val="subscript"/>
        <sz val="10"/>
        <color theme="1"/>
        <rFont val="Times New Roman"/>
        <family val="1"/>
      </rPr>
      <t>s</t>
    </r>
  </si>
  <si>
    <r>
      <t>t</t>
    </r>
    <r>
      <rPr>
        <vertAlign val="subscript"/>
        <sz val="10"/>
        <color theme="1"/>
        <rFont val="Times New Roman"/>
        <family val="1"/>
      </rPr>
      <t>i</t>
    </r>
  </si>
  <si>
    <r>
      <t>t</t>
    </r>
    <r>
      <rPr>
        <vertAlign val="subscript"/>
        <sz val="10"/>
        <color theme="1"/>
        <rFont val="Times New Roman"/>
        <family val="1"/>
      </rPr>
      <t>tp</t>
    </r>
  </si>
  <si>
    <r>
      <t>t</t>
    </r>
    <r>
      <rPr>
        <vertAlign val="subscript"/>
        <sz val="10"/>
        <color theme="1"/>
        <rFont val="Times New Roman"/>
        <family val="1"/>
      </rPr>
      <t>bp</t>
    </r>
  </si>
  <si>
    <r>
      <t>t</t>
    </r>
    <r>
      <rPr>
        <vertAlign val="subscript"/>
        <sz val="10"/>
        <color theme="1"/>
        <rFont val="Times New Roman"/>
        <family val="1"/>
      </rPr>
      <t>ip</t>
    </r>
  </si>
  <si>
    <r>
      <t>H</t>
    </r>
    <r>
      <rPr>
        <vertAlign val="subscript"/>
        <sz val="10"/>
        <color theme="1"/>
        <rFont val="Times New Roman"/>
        <family val="1"/>
      </rPr>
      <t>isol</t>
    </r>
  </si>
  <si>
    <r>
      <t>D</t>
    </r>
    <r>
      <rPr>
        <vertAlign val="subscript"/>
        <sz val="9"/>
        <color theme="1"/>
        <rFont val="Times New Roman"/>
        <family val="1"/>
      </rPr>
      <t>M</t>
    </r>
  </si>
  <si>
    <r>
      <t>D</t>
    </r>
    <r>
      <rPr>
        <vertAlign val="subscript"/>
        <sz val="9"/>
        <color theme="1"/>
        <rFont val="Times New Roman"/>
        <family val="1"/>
      </rPr>
      <t>TM</t>
    </r>
  </si>
  <si>
    <t>∆y</t>
  </si>
  <si>
    <r>
      <t>Fmax(D</t>
    </r>
    <r>
      <rPr>
        <vertAlign val="subscript"/>
        <sz val="9"/>
        <color theme="1"/>
        <rFont val="Times New Roman"/>
        <family val="1"/>
      </rPr>
      <t>M</t>
    </r>
    <r>
      <rPr>
        <sz val="9"/>
        <color theme="1"/>
        <rFont val="Times New Roman"/>
        <family val="1"/>
      </rPr>
      <t>)</t>
    </r>
  </si>
  <si>
    <r>
      <t>Keff(D</t>
    </r>
    <r>
      <rPr>
        <vertAlign val="subscript"/>
        <sz val="9"/>
        <color theme="1"/>
        <rFont val="Times New Roman"/>
        <family val="1"/>
      </rPr>
      <t>M</t>
    </r>
    <r>
      <rPr>
        <sz val="9"/>
        <color theme="1"/>
        <rFont val="Times New Roman"/>
        <family val="1"/>
      </rPr>
      <t>)</t>
    </r>
  </si>
  <si>
    <r>
      <t>EDC(D</t>
    </r>
    <r>
      <rPr>
        <vertAlign val="subscript"/>
        <sz val="9"/>
        <color theme="1"/>
        <rFont val="Times New Roman"/>
        <family val="1"/>
      </rPr>
      <t>M</t>
    </r>
    <r>
      <rPr>
        <sz val="9"/>
        <color theme="1"/>
        <rFont val="Times New Roman"/>
        <family val="1"/>
      </rPr>
      <t>)</t>
    </r>
  </si>
  <si>
    <r>
      <t xml:space="preserve">Pallowable </t>
    </r>
    <r>
      <rPr>
        <vertAlign val="subscript"/>
        <sz val="9"/>
        <color theme="1"/>
        <rFont val="Times New Roman"/>
        <family val="1"/>
      </rPr>
      <t>ZERO</t>
    </r>
  </si>
  <si>
    <r>
      <t>Pallowable</t>
    </r>
    <r>
      <rPr>
        <vertAlign val="subscript"/>
        <sz val="9"/>
        <color theme="1"/>
        <rFont val="Times New Roman"/>
        <family val="1"/>
      </rPr>
      <t>DTM</t>
    </r>
  </si>
  <si>
    <r>
      <t>2*((B^2*ASIN(√(B^2-Δ^2)/B)-Δ√(B^2-Δ^2))/(</t>
    </r>
    <r>
      <rPr>
        <b/>
        <sz val="9"/>
        <color theme="1"/>
        <rFont val="GreekC"/>
      </rPr>
      <t>p</t>
    </r>
    <r>
      <rPr>
        <b/>
        <sz val="9"/>
        <color theme="1"/>
        <rFont val="Times New Roman"/>
        <family val="1"/>
      </rPr>
      <t>*B^2)   =</t>
    </r>
  </si>
  <si>
    <t>R(Δ6in)=</t>
  </si>
  <si>
    <t>R(Δ12in)=</t>
  </si>
  <si>
    <t>R(Δzero in)=</t>
  </si>
  <si>
    <r>
      <rPr>
        <b/>
        <sz val="11"/>
        <color theme="1"/>
        <rFont val="GreekC"/>
      </rPr>
      <t>e</t>
    </r>
    <r>
      <rPr>
        <b/>
        <sz val="11"/>
        <color theme="1"/>
        <rFont val="Times New Roman"/>
        <family val="1"/>
      </rPr>
      <t>u-</t>
    </r>
    <r>
      <rPr>
        <b/>
        <sz val="11"/>
        <color theme="1"/>
        <rFont val="GreekC"/>
      </rPr>
      <t>g</t>
    </r>
    <r>
      <rPr>
        <b/>
        <sz val="11"/>
        <color theme="1"/>
        <rFont val="Times New Roman"/>
        <family val="1"/>
      </rPr>
      <t>zero</t>
    </r>
  </si>
  <si>
    <r>
      <rPr>
        <b/>
        <sz val="10"/>
        <color theme="1"/>
        <rFont val="Symbol"/>
        <family val="1"/>
        <charset val="2"/>
      </rPr>
      <t>q</t>
    </r>
    <r>
      <rPr>
        <b/>
        <vertAlign val="subscript"/>
        <sz val="10"/>
        <color theme="1"/>
        <rFont val="Times New Roman"/>
        <family val="1"/>
      </rPr>
      <t>ZERO</t>
    </r>
  </si>
  <si>
    <r>
      <rPr>
        <b/>
        <sz val="9"/>
        <color theme="1"/>
        <rFont val="GreekC"/>
      </rPr>
      <t>g</t>
    </r>
    <r>
      <rPr>
        <b/>
        <sz val="9"/>
        <color theme="1"/>
        <rFont val="Times New Roman"/>
        <family val="1"/>
      </rPr>
      <t>zero       =</t>
    </r>
  </si>
  <si>
    <r>
      <t>(Δzero)/Tr+(B^2*</t>
    </r>
    <r>
      <rPr>
        <b/>
        <sz val="10"/>
        <color theme="1"/>
        <rFont val="Symbol"/>
        <family val="1"/>
        <charset val="2"/>
      </rPr>
      <t>q</t>
    </r>
    <r>
      <rPr>
        <b/>
        <sz val="10"/>
        <color theme="1"/>
        <rFont val="Times New Roman"/>
        <family val="1"/>
      </rPr>
      <t>zero)/2*ti*Tr)    =</t>
    </r>
  </si>
  <si>
    <r>
      <t>Pstrain</t>
    </r>
    <r>
      <rPr>
        <b/>
        <vertAlign val="subscript"/>
        <sz val="10"/>
        <color theme="1"/>
        <rFont val="Times New Roman"/>
        <family val="1"/>
      </rPr>
      <t xml:space="preserve"> zero           =</t>
    </r>
  </si>
  <si>
    <r>
      <t xml:space="preserve">Pctit </t>
    </r>
    <r>
      <rPr>
        <b/>
        <vertAlign val="subscript"/>
        <sz val="10"/>
        <color theme="1"/>
        <rFont val="Times New Roman"/>
        <family val="1"/>
      </rPr>
      <t>ZERO            =</t>
    </r>
  </si>
  <si>
    <r>
      <t xml:space="preserve">Pmin </t>
    </r>
    <r>
      <rPr>
        <b/>
        <vertAlign val="subscript"/>
        <sz val="10"/>
        <color theme="1"/>
        <rFont val="Times New Roman"/>
        <family val="1"/>
      </rPr>
      <t>ZERO          =</t>
    </r>
  </si>
  <si>
    <r>
      <rPr>
        <b/>
        <sz val="10"/>
        <color theme="1"/>
        <rFont val="GreekC"/>
      </rPr>
      <t>p</t>
    </r>
    <r>
      <rPr>
        <b/>
        <sz val="10"/>
        <color theme="1"/>
        <rFont val="Times New Roman"/>
        <family val="1"/>
      </rPr>
      <t>/</t>
    </r>
    <r>
      <rPr>
        <b/>
        <sz val="10"/>
        <color theme="1"/>
        <rFont val="Algerian"/>
        <family val="5"/>
      </rPr>
      <t>√</t>
    </r>
    <r>
      <rPr>
        <b/>
        <sz val="10"/>
        <color theme="1"/>
        <rFont val="Times New Roman"/>
        <family val="1"/>
      </rPr>
      <t>8*G*S*(B/Tr)*Ab*R(</t>
    </r>
    <r>
      <rPr>
        <b/>
        <sz val="10"/>
        <color theme="1"/>
        <rFont val="GreekC"/>
      </rPr>
      <t>Δ</t>
    </r>
    <r>
      <rPr>
        <b/>
        <vertAlign val="subscript"/>
        <sz val="10"/>
        <color theme="1"/>
        <rFont val="Times New Roman"/>
        <family val="1"/>
      </rPr>
      <t>ZERO</t>
    </r>
    <r>
      <rPr>
        <b/>
        <sz val="10"/>
        <color theme="1"/>
        <rFont val="Times New Roman"/>
        <family val="1"/>
      </rPr>
      <t>)</t>
    </r>
  </si>
  <si>
    <r>
      <t xml:space="preserve">min((Pcrit </t>
    </r>
    <r>
      <rPr>
        <b/>
        <vertAlign val="subscript"/>
        <sz val="10"/>
        <color theme="1"/>
        <rFont val="Times New Roman"/>
        <family val="1"/>
      </rPr>
      <t>zero</t>
    </r>
    <r>
      <rPr>
        <b/>
        <sz val="10"/>
        <color theme="1"/>
        <rFont val="Times New Roman"/>
        <family val="1"/>
      </rPr>
      <t xml:space="preserve">.Pstrain </t>
    </r>
    <r>
      <rPr>
        <b/>
        <vertAlign val="subscript"/>
        <sz val="10"/>
        <color theme="1"/>
        <rFont val="Times New Roman"/>
        <family val="1"/>
      </rPr>
      <t>zero</t>
    </r>
    <r>
      <rPr>
        <b/>
        <sz val="10"/>
        <color theme="1"/>
        <rFont val="Times New Roman"/>
        <family val="1"/>
      </rPr>
      <t>))</t>
    </r>
  </si>
  <si>
    <r>
      <rPr>
        <sz val="9"/>
        <color theme="1"/>
        <rFont val="Symbol"/>
        <family val="1"/>
        <charset val="2"/>
      </rPr>
      <t>q</t>
    </r>
    <r>
      <rPr>
        <vertAlign val="subscript"/>
        <sz val="9"/>
        <color theme="1"/>
        <rFont val="Times New Roman"/>
        <family val="1"/>
      </rPr>
      <t>DTM</t>
    </r>
    <r>
      <rPr>
        <sz val="9"/>
        <color theme="1"/>
        <rFont val="Times New Roman"/>
        <family val="1"/>
      </rPr>
      <t>=</t>
    </r>
  </si>
  <si>
    <r>
      <t>R(D</t>
    </r>
    <r>
      <rPr>
        <b/>
        <vertAlign val="subscript"/>
        <sz val="9"/>
        <color theme="1"/>
        <rFont val="Times New Roman"/>
        <family val="1"/>
      </rPr>
      <t>TM</t>
    </r>
    <r>
      <rPr>
        <b/>
        <sz val="9"/>
        <color theme="1"/>
        <rFont val="Times New Roman"/>
        <family val="1"/>
      </rPr>
      <t xml:space="preserve">) </t>
    </r>
  </si>
  <si>
    <t>at</t>
  </si>
  <si>
    <r>
      <rPr>
        <b/>
        <sz val="9"/>
        <color theme="1"/>
        <rFont val="Symbol"/>
        <family val="1"/>
        <charset val="2"/>
      </rPr>
      <t>q</t>
    </r>
    <r>
      <rPr>
        <b/>
        <vertAlign val="subscript"/>
        <sz val="9"/>
        <color theme="1"/>
        <rFont val="Times New Roman"/>
        <family val="1"/>
      </rPr>
      <t>DTM</t>
    </r>
    <r>
      <rPr>
        <b/>
        <sz val="9"/>
        <color theme="1"/>
        <rFont val="Times New Roman"/>
        <family val="1"/>
      </rPr>
      <t>=</t>
    </r>
  </si>
  <si>
    <r>
      <t>D</t>
    </r>
    <r>
      <rPr>
        <vertAlign val="subscript"/>
        <sz val="9"/>
        <color theme="1"/>
        <rFont val="Times New Roman"/>
        <family val="1"/>
      </rPr>
      <t xml:space="preserve">TM         </t>
    </r>
    <r>
      <rPr>
        <sz val="9"/>
        <color theme="1"/>
        <rFont val="Times New Roman"/>
        <family val="1"/>
      </rPr>
      <t>=</t>
    </r>
  </si>
  <si>
    <r>
      <t>(D</t>
    </r>
    <r>
      <rPr>
        <b/>
        <vertAlign val="subscript"/>
        <sz val="9"/>
        <color theme="1"/>
        <rFont val="Calibri"/>
        <family val="2"/>
        <scheme val="minor"/>
      </rPr>
      <t>TM</t>
    </r>
    <r>
      <rPr>
        <b/>
        <sz val="9"/>
        <color theme="1"/>
        <rFont val="Calibri"/>
        <family val="2"/>
        <scheme val="minor"/>
      </rPr>
      <t>)/Tr+(B^2*</t>
    </r>
    <r>
      <rPr>
        <b/>
        <sz val="9"/>
        <color theme="1"/>
        <rFont val="Symbol"/>
        <family val="1"/>
        <charset val="2"/>
      </rPr>
      <t>q</t>
    </r>
    <r>
      <rPr>
        <b/>
        <vertAlign val="subscript"/>
        <sz val="9"/>
        <color theme="1"/>
        <rFont val="Calibri"/>
        <family val="2"/>
      </rPr>
      <t>DTM</t>
    </r>
    <r>
      <rPr>
        <b/>
        <sz val="9"/>
        <color theme="1"/>
        <rFont val="Calibri"/>
        <family val="2"/>
      </rPr>
      <t>)/(2*ti*Tr)</t>
    </r>
  </si>
  <si>
    <r>
      <rPr>
        <b/>
        <sz val="11"/>
        <color theme="1"/>
        <rFont val="GreekC"/>
      </rPr>
      <t>e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GreekC"/>
      </rPr>
      <t>g</t>
    </r>
    <r>
      <rPr>
        <b/>
        <vertAlign val="subscript"/>
        <sz val="11"/>
        <color theme="1"/>
        <rFont val="Times New Roman"/>
        <family val="1"/>
      </rPr>
      <t>DTM</t>
    </r>
  </si>
  <si>
    <r>
      <t>Pstrain</t>
    </r>
    <r>
      <rPr>
        <b/>
        <vertAlign val="subscript"/>
        <sz val="9"/>
        <color theme="1"/>
        <rFont val="Times New Roman"/>
        <family val="1"/>
      </rPr>
      <t>DTM</t>
    </r>
    <r>
      <rPr>
        <b/>
        <sz val="9"/>
        <color theme="1"/>
        <rFont val="Times New Roman"/>
        <family val="1"/>
      </rPr>
      <t>=1.25*(Ec*Ab*eavail)/6*S)*R(D</t>
    </r>
    <r>
      <rPr>
        <b/>
        <vertAlign val="subscript"/>
        <sz val="9"/>
        <color theme="1"/>
        <rFont val="Times New Roman"/>
        <family val="1"/>
      </rPr>
      <t>TM</t>
    </r>
    <r>
      <rPr>
        <b/>
        <sz val="9"/>
        <color theme="1"/>
        <rFont val="Times New Roman"/>
        <family val="1"/>
      </rPr>
      <t>) =</t>
    </r>
  </si>
  <si>
    <r>
      <t xml:space="preserve">Psrain </t>
    </r>
    <r>
      <rPr>
        <b/>
        <vertAlign val="subscript"/>
        <sz val="9"/>
        <color theme="1"/>
        <rFont val="Times New Roman"/>
        <family val="1"/>
      </rPr>
      <t>DTM</t>
    </r>
    <r>
      <rPr>
        <b/>
        <sz val="9"/>
        <color theme="1"/>
        <rFont val="Times New Roman"/>
        <family val="1"/>
      </rPr>
      <t xml:space="preserve"> =</t>
    </r>
  </si>
  <si>
    <r>
      <t xml:space="preserve">Pcrit </t>
    </r>
    <r>
      <rPr>
        <b/>
        <vertAlign val="subscript"/>
        <sz val="9"/>
        <color theme="1"/>
        <rFont val="Times New Roman"/>
        <family val="1"/>
      </rPr>
      <t>DTM</t>
    </r>
    <r>
      <rPr>
        <b/>
        <sz val="9"/>
        <color theme="1"/>
        <rFont val="Times New Roman"/>
        <family val="1"/>
      </rPr>
      <t xml:space="preserve"> =</t>
    </r>
  </si>
  <si>
    <r>
      <t>1.25*(π/√8)*G*S*(B/Tr)*Ab*R(D</t>
    </r>
    <r>
      <rPr>
        <b/>
        <vertAlign val="subscript"/>
        <sz val="9"/>
        <color theme="1"/>
        <rFont val="Times New Roman"/>
        <family val="1"/>
      </rPr>
      <t>TM</t>
    </r>
    <r>
      <rPr>
        <b/>
        <sz val="9"/>
        <color theme="1"/>
        <rFont val="Times New Roman"/>
        <family val="1"/>
      </rPr>
      <t>) =</t>
    </r>
  </si>
  <si>
    <r>
      <t>Pcrit</t>
    </r>
    <r>
      <rPr>
        <b/>
        <vertAlign val="subscript"/>
        <sz val="9"/>
        <color theme="1"/>
        <rFont val="Times New Roman"/>
        <family val="1"/>
      </rPr>
      <t>DTM</t>
    </r>
    <r>
      <rPr>
        <b/>
        <sz val="9"/>
        <color theme="1"/>
        <rFont val="Times New Roman"/>
        <family val="1"/>
      </rPr>
      <t xml:space="preserve">   =</t>
    </r>
  </si>
  <si>
    <r>
      <t xml:space="preserve">Pallowable </t>
    </r>
    <r>
      <rPr>
        <b/>
        <vertAlign val="subscript"/>
        <sz val="9"/>
        <color theme="1"/>
        <rFont val="Times New Roman"/>
        <family val="1"/>
      </rPr>
      <t>DTM</t>
    </r>
  </si>
  <si>
    <r>
      <rPr>
        <b/>
        <sz val="11"/>
        <color theme="1"/>
        <rFont val="GreekC"/>
      </rPr>
      <t>g</t>
    </r>
    <r>
      <rPr>
        <b/>
        <vertAlign val="subscript"/>
        <sz val="11"/>
        <color theme="1"/>
        <rFont val="Times New Roman"/>
        <family val="1"/>
      </rPr>
      <t>DTM</t>
    </r>
  </si>
  <si>
    <r>
      <t>Min((Pcrit</t>
    </r>
    <r>
      <rPr>
        <b/>
        <vertAlign val="subscript"/>
        <sz val="11"/>
        <color theme="1"/>
        <rFont val="Calibri"/>
        <family val="2"/>
        <scheme val="minor"/>
      </rPr>
      <t>DTM</t>
    </r>
    <r>
      <rPr>
        <b/>
        <sz val="11"/>
        <color theme="1"/>
        <rFont val="Calibri"/>
        <family val="2"/>
        <scheme val="minor"/>
      </rPr>
      <t xml:space="preserve">,Pstrain </t>
    </r>
    <r>
      <rPr>
        <b/>
        <vertAlign val="subscript"/>
        <sz val="11"/>
        <color theme="1"/>
        <rFont val="Calibri"/>
        <family val="2"/>
        <scheme val="minor"/>
      </rPr>
      <t>DTM</t>
    </r>
  </si>
  <si>
    <r>
      <t>P</t>
    </r>
    <r>
      <rPr>
        <vertAlign val="subscript"/>
        <sz val="11"/>
        <color theme="1"/>
        <rFont val="Times New Roman"/>
        <family val="1"/>
      </rPr>
      <t>DTM</t>
    </r>
    <r>
      <rPr>
        <sz val="11"/>
        <color theme="1"/>
        <rFont val="Times New Roman"/>
        <family val="1"/>
      </rPr>
      <t>/Net Area Of Bearing</t>
    </r>
  </si>
  <si>
    <r>
      <rPr>
        <b/>
        <sz val="12"/>
        <color theme="1"/>
        <rFont val="GreekC"/>
      </rPr>
      <t>e</t>
    </r>
    <r>
      <rPr>
        <b/>
        <sz val="9"/>
        <color theme="1"/>
        <rFont val="Times New Roman"/>
        <family val="1"/>
      </rPr>
      <t>u       =</t>
    </r>
  </si>
  <si>
    <t>Factor of safety</t>
  </si>
  <si>
    <r>
      <rPr>
        <b/>
        <sz val="11"/>
        <color theme="1"/>
        <rFont val="Symbol"/>
        <family val="1"/>
        <charset val="2"/>
      </rPr>
      <t>q</t>
    </r>
    <r>
      <rPr>
        <b/>
        <vertAlign val="subscript"/>
        <sz val="11"/>
        <color theme="1"/>
        <rFont val="Times New Roman"/>
        <family val="1"/>
      </rPr>
      <t>0</t>
    </r>
    <r>
      <rPr>
        <b/>
        <sz val="11"/>
        <color theme="1"/>
        <rFont val="Times New Roman"/>
        <family val="1"/>
      </rPr>
      <t xml:space="preserve">         =</t>
    </r>
  </si>
  <si>
    <r>
      <rPr>
        <b/>
        <sz val="9"/>
        <color theme="1"/>
        <rFont val="GreekC"/>
      </rPr>
      <t>b</t>
    </r>
    <r>
      <rPr>
        <b/>
        <sz val="9"/>
        <color theme="1"/>
        <rFont val="Times New Roman"/>
        <family val="1"/>
      </rPr>
      <t>(D</t>
    </r>
    <r>
      <rPr>
        <b/>
        <vertAlign val="subscript"/>
        <sz val="9"/>
        <color theme="1"/>
        <rFont val="Times New Roman"/>
        <family val="1"/>
      </rPr>
      <t>M</t>
    </r>
    <r>
      <rPr>
        <b/>
        <sz val="9"/>
        <color theme="1"/>
        <rFont val="Times New Roman"/>
        <family val="1"/>
      </rPr>
      <t>)</t>
    </r>
  </si>
  <si>
    <r>
      <rPr>
        <b/>
        <sz val="9"/>
        <color theme="1"/>
        <rFont val="GreekC"/>
      </rPr>
      <t>g</t>
    </r>
    <r>
      <rPr>
        <b/>
        <sz val="9"/>
        <color theme="1"/>
        <rFont val="Times New Roman"/>
        <family val="1"/>
      </rPr>
      <t>(D</t>
    </r>
    <r>
      <rPr>
        <b/>
        <vertAlign val="subscript"/>
        <sz val="9"/>
        <color theme="1"/>
        <rFont val="Times New Roman"/>
        <family val="1"/>
      </rPr>
      <t>M</t>
    </r>
    <r>
      <rPr>
        <b/>
        <sz val="9"/>
        <color theme="1"/>
        <rFont val="Times New Roman"/>
        <family val="1"/>
      </rPr>
      <t>)</t>
    </r>
  </si>
  <si>
    <r>
      <rPr>
        <b/>
        <sz val="10"/>
        <color theme="1"/>
        <rFont val="GreekC"/>
      </rPr>
      <t>g</t>
    </r>
    <r>
      <rPr>
        <b/>
        <sz val="10"/>
        <color theme="1"/>
        <rFont val="Times New Roman"/>
        <family val="1"/>
      </rPr>
      <t>(∆)         =</t>
    </r>
  </si>
  <si>
    <r>
      <rPr>
        <b/>
        <sz val="10"/>
        <color theme="1"/>
        <rFont val="GreekC"/>
      </rPr>
      <t>g</t>
    </r>
    <r>
      <rPr>
        <b/>
        <sz val="10"/>
        <color theme="1"/>
        <rFont val="Times New Roman"/>
        <family val="1"/>
      </rPr>
      <t>(D</t>
    </r>
    <r>
      <rPr>
        <b/>
        <vertAlign val="subscript"/>
        <sz val="10"/>
        <color theme="1"/>
        <rFont val="Times New Roman"/>
        <family val="1"/>
      </rPr>
      <t>TM</t>
    </r>
    <r>
      <rPr>
        <b/>
        <sz val="10"/>
        <color theme="1"/>
        <rFont val="Times New Roman"/>
        <family val="1"/>
      </rPr>
      <t>)</t>
    </r>
  </si>
  <si>
    <r>
      <rPr>
        <b/>
        <sz val="9"/>
        <color theme="1"/>
        <rFont val="GreekC"/>
      </rPr>
      <t>g</t>
    </r>
    <r>
      <rPr>
        <b/>
        <sz val="9"/>
        <color theme="1"/>
        <rFont val="Times New Roman"/>
        <family val="1"/>
      </rPr>
      <t>(D</t>
    </r>
    <r>
      <rPr>
        <b/>
        <vertAlign val="subscript"/>
        <sz val="9"/>
        <color theme="1"/>
        <rFont val="Times New Roman"/>
        <family val="1"/>
      </rPr>
      <t>TM</t>
    </r>
    <r>
      <rPr>
        <b/>
        <sz val="9"/>
        <color theme="1"/>
        <rFont val="Times New Roman"/>
        <family val="1"/>
      </rPr>
      <t>)</t>
    </r>
  </si>
  <si>
    <r>
      <t>t</t>
    </r>
    <r>
      <rPr>
        <vertAlign val="subscript"/>
        <sz val="10"/>
        <color theme="1"/>
        <rFont val="Times New Roman"/>
        <family val="1"/>
      </rPr>
      <t>tp</t>
    </r>
    <r>
      <rPr>
        <sz val="10"/>
        <color theme="1"/>
        <rFont val="Times New Roman"/>
        <family val="1"/>
      </rPr>
      <t xml:space="preserve">  </t>
    </r>
  </si>
  <si>
    <r>
      <t>t</t>
    </r>
    <r>
      <rPr>
        <vertAlign val="subscript"/>
        <sz val="10"/>
        <color theme="1"/>
        <rFont val="Times New Roman"/>
        <family val="1"/>
      </rPr>
      <t xml:space="preserve">bp  </t>
    </r>
  </si>
  <si>
    <t>ELEVATION OF BEARING</t>
  </si>
  <si>
    <t>PLAN OF THE BEARING</t>
  </si>
  <si>
    <t>KNSM</t>
  </si>
  <si>
    <t>Yield force</t>
  </si>
  <si>
    <t>Kv =</t>
  </si>
  <si>
    <t>yield force</t>
  </si>
  <si>
    <t>Kv</t>
  </si>
  <si>
    <t>D=22.5"</t>
  </si>
  <si>
    <t>kn/m</t>
  </si>
  <si>
    <t>kn</t>
  </si>
  <si>
    <t>D=25.5"</t>
  </si>
  <si>
    <t>D=27.5"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</si>
</sst>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Symbol"/>
      <family val="1"/>
      <charset val="2"/>
    </font>
    <font>
      <b/>
      <sz val="10"/>
      <color theme="1"/>
      <name val="Symbol"/>
      <family val="1"/>
      <charset val="2"/>
    </font>
    <font>
      <b/>
      <sz val="10"/>
      <color theme="1"/>
      <name val="GreekC"/>
    </font>
    <font>
      <b/>
      <sz val="11"/>
      <color theme="1"/>
      <name val="GreekC"/>
    </font>
    <font>
      <b/>
      <sz val="9"/>
      <color theme="1"/>
      <name val="GreekC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bscript"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vertAlign val="subscript"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vertAlign val="subscript"/>
      <sz val="10"/>
      <color theme="1"/>
      <name val="Times New Roman"/>
      <family val="1"/>
    </font>
    <font>
      <b/>
      <vertAlign val="subscript"/>
      <sz val="9"/>
      <color theme="1"/>
      <name val="Times New Roman"/>
      <family val="1"/>
    </font>
    <font>
      <vertAlign val="subscript"/>
      <sz val="10"/>
      <color theme="1"/>
      <name val="Times New Roman"/>
      <family val="1"/>
    </font>
    <font>
      <b/>
      <sz val="10"/>
      <color theme="1"/>
      <name val="Algerian"/>
      <family val="5"/>
    </font>
    <font>
      <b/>
      <sz val="11"/>
      <color theme="1"/>
      <name val="Calibri"/>
      <family val="2"/>
      <scheme val="minor"/>
    </font>
    <font>
      <b/>
      <sz val="11"/>
      <color theme="1"/>
      <name val="Symbol"/>
      <family val="1"/>
      <charset val="2"/>
    </font>
    <font>
      <b/>
      <sz val="9"/>
      <color theme="1"/>
      <name val="Symbol"/>
      <family val="1"/>
      <charset val="2"/>
    </font>
    <font>
      <b/>
      <sz val="9"/>
      <color theme="1"/>
      <name val="Calibri"/>
      <family val="2"/>
    </font>
    <font>
      <b/>
      <vertAlign val="subscript"/>
      <sz val="9"/>
      <color theme="1"/>
      <name val="Calibri"/>
      <family val="2"/>
      <scheme val="minor"/>
    </font>
    <font>
      <b/>
      <vertAlign val="subscript"/>
      <sz val="9"/>
      <color theme="1"/>
      <name val="Calibri"/>
      <family val="2"/>
    </font>
    <font>
      <vertAlign val="subscript"/>
      <sz val="11"/>
      <color theme="1"/>
      <name val="Times New Roman"/>
      <family val="1"/>
    </font>
    <font>
      <b/>
      <sz val="12"/>
      <color theme="1"/>
      <name val="GreekC"/>
    </font>
    <font>
      <sz val="12"/>
      <color theme="1"/>
      <name val="Times New Roman"/>
      <family val="1"/>
    </font>
    <font>
      <b/>
      <vertAlign val="subscript"/>
      <sz val="11"/>
      <color theme="1"/>
      <name val="Calibri"/>
      <family val="2"/>
      <scheme val="minor"/>
    </font>
    <font>
      <sz val="9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65" fontId="2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164" fontId="9" fillId="0" borderId="0" xfId="0" applyNumberFormat="1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9" fillId="0" borderId="0" xfId="0" applyFont="1" applyAlignment="1">
      <alignment horizontal="center"/>
    </xf>
    <xf numFmtId="0" fontId="13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2" fontId="8" fillId="0" borderId="0" xfId="0" applyNumberFormat="1" applyFont="1"/>
    <xf numFmtId="0" fontId="18" fillId="0" borderId="0" xfId="0" applyFont="1" applyAlignment="1"/>
    <xf numFmtId="164" fontId="8" fillId="0" borderId="0" xfId="0" applyNumberFormat="1" applyFont="1"/>
    <xf numFmtId="165" fontId="8" fillId="0" borderId="0" xfId="0" applyNumberFormat="1" applyFont="1"/>
    <xf numFmtId="0" fontId="18" fillId="0" borderId="0" xfId="0" applyFont="1"/>
    <xf numFmtId="164" fontId="9" fillId="0" borderId="0" xfId="0" applyNumberFormat="1" applyFont="1" applyAlignment="1">
      <alignment horizontal="left"/>
    </xf>
    <xf numFmtId="0" fontId="19" fillId="0" borderId="0" xfId="0" applyFont="1"/>
    <xf numFmtId="0" fontId="12" fillId="0" borderId="0" xfId="0" applyFont="1"/>
    <xf numFmtId="0" fontId="9" fillId="0" borderId="0" xfId="0" applyFont="1" applyAlignment="1">
      <alignment horizontal="right"/>
    </xf>
    <xf numFmtId="165" fontId="8" fillId="0" borderId="0" xfId="0" applyNumberFormat="1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2" fillId="0" borderId="0" xfId="0" applyFont="1"/>
    <xf numFmtId="1" fontId="8" fillId="0" borderId="0" xfId="0" applyNumberFormat="1" applyFont="1" applyAlignment="1"/>
    <xf numFmtId="0" fontId="24" fillId="0" borderId="0" xfId="0" applyFont="1"/>
    <xf numFmtId="2" fontId="34" fillId="0" borderId="0" xfId="0" applyNumberFormat="1" applyFont="1"/>
    <xf numFmtId="1" fontId="2" fillId="0" borderId="0" xfId="0" applyNumberFormat="1" applyFont="1"/>
    <xf numFmtId="1" fontId="8" fillId="0" borderId="0" xfId="0" applyNumberFormat="1" applyFont="1"/>
    <xf numFmtId="1" fontId="24" fillId="0" borderId="0" xfId="0" applyNumberFormat="1" applyFont="1"/>
    <xf numFmtId="165" fontId="24" fillId="0" borderId="0" xfId="0" applyNumberFormat="1" applyFont="1"/>
    <xf numFmtId="164" fontId="24" fillId="0" borderId="0" xfId="0" applyNumberFormat="1" applyFont="1"/>
    <xf numFmtId="2" fontId="24" fillId="0" borderId="0" xfId="0" applyNumberFormat="1" applyFont="1"/>
    <xf numFmtId="0" fontId="3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0" xfId="0" applyFont="1" applyFill="1"/>
    <xf numFmtId="1" fontId="36" fillId="0" borderId="0" xfId="0" applyNumberFormat="1" applyFont="1"/>
    <xf numFmtId="0" fontId="3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37</xdr:row>
      <xdr:rowOff>76199</xdr:rowOff>
    </xdr:from>
    <xdr:to>
      <xdr:col>10</xdr:col>
      <xdr:colOff>247649</xdr:colOff>
      <xdr:row>61</xdr:row>
      <xdr:rowOff>171450</xdr:rowOff>
    </xdr:to>
    <xdr:sp macro="" textlink="">
      <xdr:nvSpPr>
        <xdr:cNvPr id="12" name="Donut 11"/>
        <xdr:cNvSpPr/>
      </xdr:nvSpPr>
      <xdr:spPr>
        <a:xfrm>
          <a:off x="1524000" y="4467224"/>
          <a:ext cx="4819649" cy="4686301"/>
        </a:xfrm>
        <a:prstGeom prst="donut">
          <a:avLst>
            <a:gd name="adj" fmla="val 252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581025</xdr:colOff>
      <xdr:row>47</xdr:row>
      <xdr:rowOff>9525</xdr:rowOff>
    </xdr:from>
    <xdr:to>
      <xdr:col>7</xdr:col>
      <xdr:colOff>47625</xdr:colOff>
      <xdr:row>50</xdr:row>
      <xdr:rowOff>66675</xdr:rowOff>
    </xdr:to>
    <xdr:sp macro="" textlink="">
      <xdr:nvSpPr>
        <xdr:cNvPr id="13" name="Oval 12"/>
        <xdr:cNvSpPr/>
      </xdr:nvSpPr>
      <xdr:spPr>
        <a:xfrm>
          <a:off x="3629025" y="6315075"/>
          <a:ext cx="685800" cy="6286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581025</xdr:colOff>
      <xdr:row>48</xdr:row>
      <xdr:rowOff>133350</xdr:rowOff>
    </xdr:from>
    <xdr:to>
      <xdr:col>7</xdr:col>
      <xdr:colOff>47625</xdr:colOff>
      <xdr:row>48</xdr:row>
      <xdr:rowOff>134938</xdr:rowOff>
    </xdr:to>
    <xdr:cxnSp macro="">
      <xdr:nvCxnSpPr>
        <xdr:cNvPr id="14" name="Straight Arrow Connector 13"/>
        <xdr:cNvCxnSpPr>
          <a:stCxn id="13" idx="2"/>
          <a:endCxn id="13" idx="6"/>
        </xdr:cNvCxnSpPr>
      </xdr:nvCxnSpPr>
      <xdr:spPr>
        <a:xfrm rot="10800000" flipH="1">
          <a:off x="3629025" y="6629400"/>
          <a:ext cx="68580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40</xdr:row>
      <xdr:rowOff>47625</xdr:rowOff>
    </xdr:from>
    <xdr:to>
      <xdr:col>8</xdr:col>
      <xdr:colOff>342900</xdr:colOff>
      <xdr:row>41</xdr:row>
      <xdr:rowOff>85725</xdr:rowOff>
    </xdr:to>
    <xdr:cxnSp macro="">
      <xdr:nvCxnSpPr>
        <xdr:cNvPr id="15" name="Straight Arrow Connector 14"/>
        <xdr:cNvCxnSpPr/>
      </xdr:nvCxnSpPr>
      <xdr:spPr>
        <a:xfrm rot="5400000" flipH="1" flipV="1">
          <a:off x="5019675" y="5048250"/>
          <a:ext cx="22860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38</xdr:row>
      <xdr:rowOff>66676</xdr:rowOff>
    </xdr:from>
    <xdr:to>
      <xdr:col>9</xdr:col>
      <xdr:colOff>0</xdr:colOff>
      <xdr:row>39</xdr:row>
      <xdr:rowOff>104776</xdr:rowOff>
    </xdr:to>
    <xdr:cxnSp macro="">
      <xdr:nvCxnSpPr>
        <xdr:cNvPr id="16" name="Straight Arrow Connector 15"/>
        <xdr:cNvCxnSpPr/>
      </xdr:nvCxnSpPr>
      <xdr:spPr>
        <a:xfrm rot="5400000">
          <a:off x="5276850" y="4676776"/>
          <a:ext cx="238125" cy="180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1</xdr:rowOff>
    </xdr:from>
    <xdr:to>
      <xdr:col>11</xdr:col>
      <xdr:colOff>0</xdr:colOff>
      <xdr:row>4</xdr:row>
      <xdr:rowOff>19050</xdr:rowOff>
    </xdr:to>
    <xdr:cxnSp macro="">
      <xdr:nvCxnSpPr>
        <xdr:cNvPr id="17" name="Straight Connector 16"/>
        <xdr:cNvCxnSpPr/>
      </xdr:nvCxnSpPr>
      <xdr:spPr>
        <a:xfrm>
          <a:off x="1228725" y="762001"/>
          <a:ext cx="5476875" cy="1904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608806</xdr:colOff>
      <xdr:row>3</xdr:row>
      <xdr:rowOff>172244</xdr:rowOff>
    </xdr:from>
    <xdr:to>
      <xdr:col>2</xdr:col>
      <xdr:colOff>794</xdr:colOff>
      <xdr:row>4</xdr:row>
      <xdr:rowOff>172244</xdr:rowOff>
    </xdr:to>
    <xdr:cxnSp macro="">
      <xdr:nvCxnSpPr>
        <xdr:cNvPr id="18" name="Straight Connector 17"/>
        <xdr:cNvCxnSpPr/>
      </xdr:nvCxnSpPr>
      <xdr:spPr>
        <a:xfrm rot="5400000">
          <a:off x="1123950" y="838200"/>
          <a:ext cx="19050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0</xdr:rowOff>
    </xdr:from>
    <xdr:to>
      <xdr:col>11</xdr:col>
      <xdr:colOff>0</xdr:colOff>
      <xdr:row>5</xdr:row>
      <xdr:rowOff>9526</xdr:rowOff>
    </xdr:to>
    <xdr:cxnSp macro="">
      <xdr:nvCxnSpPr>
        <xdr:cNvPr id="19" name="Straight Connector 18"/>
        <xdr:cNvCxnSpPr/>
      </xdr:nvCxnSpPr>
      <xdr:spPr>
        <a:xfrm flipV="1">
          <a:off x="1219200" y="952500"/>
          <a:ext cx="5486400" cy="952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608806</xdr:colOff>
      <xdr:row>4</xdr:row>
      <xdr:rowOff>794</xdr:rowOff>
    </xdr:from>
    <xdr:to>
      <xdr:col>11</xdr:col>
      <xdr:colOff>794</xdr:colOff>
      <xdr:row>5</xdr:row>
      <xdr:rowOff>19844</xdr:rowOff>
    </xdr:to>
    <xdr:cxnSp macro="">
      <xdr:nvCxnSpPr>
        <xdr:cNvPr id="20" name="Straight Connector 19"/>
        <xdr:cNvCxnSpPr/>
      </xdr:nvCxnSpPr>
      <xdr:spPr>
        <a:xfrm rot="5400000">
          <a:off x="6600825" y="866775"/>
          <a:ext cx="20955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332581</xdr:colOff>
      <xdr:row>5</xdr:row>
      <xdr:rowOff>29369</xdr:rowOff>
    </xdr:from>
    <xdr:to>
      <xdr:col>2</xdr:col>
      <xdr:colOff>334169</xdr:colOff>
      <xdr:row>18</xdr:row>
      <xdr:rowOff>10319</xdr:rowOff>
    </xdr:to>
    <xdr:cxnSp macro="">
      <xdr:nvCxnSpPr>
        <xdr:cNvPr id="21" name="Straight Connector 20"/>
        <xdr:cNvCxnSpPr/>
      </xdr:nvCxnSpPr>
      <xdr:spPr>
        <a:xfrm rot="5400000">
          <a:off x="323850" y="2209800"/>
          <a:ext cx="245745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313531</xdr:colOff>
      <xdr:row>5</xdr:row>
      <xdr:rowOff>10319</xdr:rowOff>
    </xdr:from>
    <xdr:to>
      <xdr:col>10</xdr:col>
      <xdr:colOff>315119</xdr:colOff>
      <xdr:row>18</xdr:row>
      <xdr:rowOff>10319</xdr:rowOff>
    </xdr:to>
    <xdr:cxnSp macro="">
      <xdr:nvCxnSpPr>
        <xdr:cNvPr id="22" name="Straight Connector 21"/>
        <xdr:cNvCxnSpPr/>
      </xdr:nvCxnSpPr>
      <xdr:spPr>
        <a:xfrm rot="5400000">
          <a:off x="5172075" y="2200275"/>
          <a:ext cx="247650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180975</xdr:rowOff>
    </xdr:from>
    <xdr:to>
      <xdr:col>11</xdr:col>
      <xdr:colOff>9525</xdr:colOff>
      <xdr:row>18</xdr:row>
      <xdr:rowOff>0</xdr:rowOff>
    </xdr:to>
    <xdr:cxnSp macro="">
      <xdr:nvCxnSpPr>
        <xdr:cNvPr id="23" name="Straight Connector 22"/>
        <xdr:cNvCxnSpPr/>
      </xdr:nvCxnSpPr>
      <xdr:spPr>
        <a:xfrm flipV="1">
          <a:off x="1219200" y="3419475"/>
          <a:ext cx="5495925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17</xdr:row>
      <xdr:rowOff>180976</xdr:rowOff>
    </xdr:from>
    <xdr:to>
      <xdr:col>1</xdr:col>
      <xdr:colOff>600075</xdr:colOff>
      <xdr:row>19</xdr:row>
      <xdr:rowOff>28576</xdr:rowOff>
    </xdr:to>
    <xdr:cxnSp macro="">
      <xdr:nvCxnSpPr>
        <xdr:cNvPr id="24" name="Straight Connector 23"/>
        <xdr:cNvCxnSpPr/>
      </xdr:nvCxnSpPr>
      <xdr:spPr>
        <a:xfrm rot="5400000">
          <a:off x="1090613" y="3529013"/>
          <a:ext cx="228600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18</xdr:row>
      <xdr:rowOff>180975</xdr:rowOff>
    </xdr:from>
    <xdr:to>
      <xdr:col>11</xdr:col>
      <xdr:colOff>9525</xdr:colOff>
      <xdr:row>19</xdr:row>
      <xdr:rowOff>28575</xdr:rowOff>
    </xdr:to>
    <xdr:cxnSp macro="">
      <xdr:nvCxnSpPr>
        <xdr:cNvPr id="25" name="Straight Connector 24"/>
        <xdr:cNvCxnSpPr/>
      </xdr:nvCxnSpPr>
      <xdr:spPr>
        <a:xfrm flipV="1">
          <a:off x="1209675" y="3609975"/>
          <a:ext cx="5505450" cy="3810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599282</xdr:colOff>
      <xdr:row>17</xdr:row>
      <xdr:rowOff>172243</xdr:rowOff>
    </xdr:from>
    <xdr:to>
      <xdr:col>10</xdr:col>
      <xdr:colOff>600870</xdr:colOff>
      <xdr:row>18</xdr:row>
      <xdr:rowOff>162718</xdr:rowOff>
    </xdr:to>
    <xdr:cxnSp macro="">
      <xdr:nvCxnSpPr>
        <xdr:cNvPr id="26" name="Straight Connector 25"/>
        <xdr:cNvCxnSpPr/>
      </xdr:nvCxnSpPr>
      <xdr:spPr>
        <a:xfrm rot="5400000">
          <a:off x="6605588" y="3500437"/>
          <a:ext cx="180975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</xdr:row>
      <xdr:rowOff>190499</xdr:rowOff>
    </xdr:from>
    <xdr:to>
      <xdr:col>6</xdr:col>
      <xdr:colOff>9525</xdr:colOff>
      <xdr:row>18</xdr:row>
      <xdr:rowOff>19053</xdr:rowOff>
    </xdr:to>
    <xdr:cxnSp macro="">
      <xdr:nvCxnSpPr>
        <xdr:cNvPr id="27" name="Straight Connector 26"/>
        <xdr:cNvCxnSpPr/>
      </xdr:nvCxnSpPr>
      <xdr:spPr>
        <a:xfrm rot="16200000" flipH="1">
          <a:off x="2414586" y="2195514"/>
          <a:ext cx="2495554" cy="9524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5</xdr:row>
      <xdr:rowOff>1</xdr:rowOff>
    </xdr:from>
    <xdr:to>
      <xdr:col>7</xdr:col>
      <xdr:colOff>0</xdr:colOff>
      <xdr:row>18</xdr:row>
      <xdr:rowOff>1</xdr:rowOff>
    </xdr:to>
    <xdr:cxnSp macro="">
      <xdr:nvCxnSpPr>
        <xdr:cNvPr id="28" name="Straight Connector 27"/>
        <xdr:cNvCxnSpPr/>
      </xdr:nvCxnSpPr>
      <xdr:spPr>
        <a:xfrm rot="5400000">
          <a:off x="3024188" y="2185988"/>
          <a:ext cx="2476500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599281</xdr:colOff>
      <xdr:row>5</xdr:row>
      <xdr:rowOff>19844</xdr:rowOff>
    </xdr:from>
    <xdr:to>
      <xdr:col>2</xdr:col>
      <xdr:colOff>600869</xdr:colOff>
      <xdr:row>6</xdr:row>
      <xdr:rowOff>794</xdr:rowOff>
    </xdr:to>
    <xdr:cxnSp macro="">
      <xdr:nvCxnSpPr>
        <xdr:cNvPr id="29" name="Straight Connector 28"/>
        <xdr:cNvCxnSpPr/>
      </xdr:nvCxnSpPr>
      <xdr:spPr>
        <a:xfrm rot="5400000">
          <a:off x="1733550" y="1057275"/>
          <a:ext cx="1714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8732</xdr:colOff>
      <xdr:row>5</xdr:row>
      <xdr:rowOff>10318</xdr:rowOff>
    </xdr:from>
    <xdr:to>
      <xdr:col>10</xdr:col>
      <xdr:colOff>10320</xdr:colOff>
      <xdr:row>6</xdr:row>
      <xdr:rowOff>793</xdr:rowOff>
    </xdr:to>
    <xdr:cxnSp macro="">
      <xdr:nvCxnSpPr>
        <xdr:cNvPr id="30" name="Straight Connector 29"/>
        <xdr:cNvCxnSpPr/>
      </xdr:nvCxnSpPr>
      <xdr:spPr>
        <a:xfrm rot="5400000">
          <a:off x="6015038" y="1052512"/>
          <a:ext cx="18097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6</xdr:row>
      <xdr:rowOff>0</xdr:rowOff>
    </xdr:from>
    <xdr:to>
      <xdr:col>6</xdr:col>
      <xdr:colOff>19050</xdr:colOff>
      <xdr:row>6</xdr:row>
      <xdr:rowOff>1588</xdr:rowOff>
    </xdr:to>
    <xdr:cxnSp macro="">
      <xdr:nvCxnSpPr>
        <xdr:cNvPr id="31" name="Straight Connector 30"/>
        <xdr:cNvCxnSpPr/>
      </xdr:nvCxnSpPr>
      <xdr:spPr>
        <a:xfrm>
          <a:off x="1819275" y="1143000"/>
          <a:ext cx="185737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6</xdr:row>
      <xdr:rowOff>0</xdr:rowOff>
    </xdr:from>
    <xdr:to>
      <xdr:col>10</xdr:col>
      <xdr:colOff>9525</xdr:colOff>
      <xdr:row>6</xdr:row>
      <xdr:rowOff>9525</xdr:rowOff>
    </xdr:to>
    <xdr:cxnSp macro="">
      <xdr:nvCxnSpPr>
        <xdr:cNvPr id="32" name="Straight Connector 31"/>
        <xdr:cNvCxnSpPr/>
      </xdr:nvCxnSpPr>
      <xdr:spPr>
        <a:xfrm>
          <a:off x="4276725" y="1143000"/>
          <a:ext cx="18288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599281</xdr:colOff>
      <xdr:row>16</xdr:row>
      <xdr:rowOff>181769</xdr:rowOff>
    </xdr:from>
    <xdr:to>
      <xdr:col>2</xdr:col>
      <xdr:colOff>600869</xdr:colOff>
      <xdr:row>17</xdr:row>
      <xdr:rowOff>181769</xdr:rowOff>
    </xdr:to>
    <xdr:cxnSp macro="">
      <xdr:nvCxnSpPr>
        <xdr:cNvPr id="33" name="Straight Connector 32"/>
        <xdr:cNvCxnSpPr/>
      </xdr:nvCxnSpPr>
      <xdr:spPr>
        <a:xfrm rot="5400000">
          <a:off x="1724025" y="3324225"/>
          <a:ext cx="1905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17</xdr:row>
      <xdr:rowOff>9525</xdr:rowOff>
    </xdr:from>
    <xdr:to>
      <xdr:col>6</xdr:col>
      <xdr:colOff>19050</xdr:colOff>
      <xdr:row>17</xdr:row>
      <xdr:rowOff>11113</xdr:rowOff>
    </xdr:to>
    <xdr:cxnSp macro="">
      <xdr:nvCxnSpPr>
        <xdr:cNvPr id="34" name="Straight Connector 33"/>
        <xdr:cNvCxnSpPr/>
      </xdr:nvCxnSpPr>
      <xdr:spPr>
        <a:xfrm>
          <a:off x="1809750" y="3248025"/>
          <a:ext cx="18669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17</xdr:row>
      <xdr:rowOff>0</xdr:rowOff>
    </xdr:from>
    <xdr:to>
      <xdr:col>10</xdr:col>
      <xdr:colOff>9525</xdr:colOff>
      <xdr:row>17</xdr:row>
      <xdr:rowOff>9525</xdr:rowOff>
    </xdr:to>
    <xdr:cxnSp macro="">
      <xdr:nvCxnSpPr>
        <xdr:cNvPr id="35" name="Straight Connector 34"/>
        <xdr:cNvCxnSpPr/>
      </xdr:nvCxnSpPr>
      <xdr:spPr>
        <a:xfrm flipV="1">
          <a:off x="4257675" y="3238500"/>
          <a:ext cx="18478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608806</xdr:colOff>
      <xdr:row>17</xdr:row>
      <xdr:rowOff>794</xdr:rowOff>
    </xdr:from>
    <xdr:to>
      <xdr:col>10</xdr:col>
      <xdr:colOff>794</xdr:colOff>
      <xdr:row>18</xdr:row>
      <xdr:rowOff>794</xdr:rowOff>
    </xdr:to>
    <xdr:cxnSp macro="">
      <xdr:nvCxnSpPr>
        <xdr:cNvPr id="36" name="Straight Connector 35"/>
        <xdr:cNvCxnSpPr/>
      </xdr:nvCxnSpPr>
      <xdr:spPr>
        <a:xfrm rot="5400000">
          <a:off x="6000750" y="3333750"/>
          <a:ext cx="1905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</xdr:row>
      <xdr:rowOff>0</xdr:rowOff>
    </xdr:from>
    <xdr:to>
      <xdr:col>6</xdr:col>
      <xdr:colOff>19050</xdr:colOff>
      <xdr:row>7</xdr:row>
      <xdr:rowOff>1588</xdr:rowOff>
    </xdr:to>
    <xdr:cxnSp macro="">
      <xdr:nvCxnSpPr>
        <xdr:cNvPr id="37" name="Straight Connector 36"/>
        <xdr:cNvCxnSpPr/>
      </xdr:nvCxnSpPr>
      <xdr:spPr>
        <a:xfrm>
          <a:off x="1838325" y="1333500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8</xdr:row>
      <xdr:rowOff>0</xdr:rowOff>
    </xdr:from>
    <xdr:to>
      <xdr:col>6</xdr:col>
      <xdr:colOff>0</xdr:colOff>
      <xdr:row>8</xdr:row>
      <xdr:rowOff>1588</xdr:rowOff>
    </xdr:to>
    <xdr:cxnSp macro="">
      <xdr:nvCxnSpPr>
        <xdr:cNvPr id="38" name="Straight Connector 37"/>
        <xdr:cNvCxnSpPr/>
      </xdr:nvCxnSpPr>
      <xdr:spPr>
        <a:xfrm>
          <a:off x="1819275" y="1524000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6</xdr:col>
      <xdr:colOff>9525</xdr:colOff>
      <xdr:row>9</xdr:row>
      <xdr:rowOff>1588</xdr:rowOff>
    </xdr:to>
    <xdr:cxnSp macro="">
      <xdr:nvCxnSpPr>
        <xdr:cNvPr id="39" name="Straight Connector 38"/>
        <xdr:cNvCxnSpPr/>
      </xdr:nvCxnSpPr>
      <xdr:spPr>
        <a:xfrm>
          <a:off x="1828800" y="1714500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0</xdr:rowOff>
    </xdr:from>
    <xdr:to>
      <xdr:col>6</xdr:col>
      <xdr:colOff>0</xdr:colOff>
      <xdr:row>10</xdr:row>
      <xdr:rowOff>1588</xdr:rowOff>
    </xdr:to>
    <xdr:cxnSp macro="">
      <xdr:nvCxnSpPr>
        <xdr:cNvPr id="40" name="Straight Connector 39"/>
        <xdr:cNvCxnSpPr/>
      </xdr:nvCxnSpPr>
      <xdr:spPr>
        <a:xfrm>
          <a:off x="1828800" y="1905000"/>
          <a:ext cx="18288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11</xdr:row>
      <xdr:rowOff>0</xdr:rowOff>
    </xdr:from>
    <xdr:to>
      <xdr:col>5</xdr:col>
      <xdr:colOff>600075</xdr:colOff>
      <xdr:row>11</xdr:row>
      <xdr:rowOff>9525</xdr:rowOff>
    </xdr:to>
    <xdr:cxnSp macro="">
      <xdr:nvCxnSpPr>
        <xdr:cNvPr id="41" name="Straight Connector 40"/>
        <xdr:cNvCxnSpPr/>
      </xdr:nvCxnSpPr>
      <xdr:spPr>
        <a:xfrm>
          <a:off x="1819275" y="2095500"/>
          <a:ext cx="18288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0</xdr:rowOff>
    </xdr:from>
    <xdr:to>
      <xdr:col>6</xdr:col>
      <xdr:colOff>0</xdr:colOff>
      <xdr:row>16</xdr:row>
      <xdr:rowOff>19050</xdr:rowOff>
    </xdr:to>
    <xdr:cxnSp macro="">
      <xdr:nvCxnSpPr>
        <xdr:cNvPr id="42" name="Straight Connector 41"/>
        <xdr:cNvCxnSpPr/>
      </xdr:nvCxnSpPr>
      <xdr:spPr>
        <a:xfrm>
          <a:off x="1828800" y="3048000"/>
          <a:ext cx="1828800" cy="190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180975</xdr:rowOff>
    </xdr:from>
    <xdr:to>
      <xdr:col>6</xdr:col>
      <xdr:colOff>0</xdr:colOff>
      <xdr:row>14</xdr:row>
      <xdr:rowOff>182563</xdr:rowOff>
    </xdr:to>
    <xdr:cxnSp macro="">
      <xdr:nvCxnSpPr>
        <xdr:cNvPr id="43" name="Straight Connector 42"/>
        <xdr:cNvCxnSpPr/>
      </xdr:nvCxnSpPr>
      <xdr:spPr>
        <a:xfrm>
          <a:off x="1828800" y="2847975"/>
          <a:ext cx="18288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14</xdr:row>
      <xdr:rowOff>0</xdr:rowOff>
    </xdr:from>
    <xdr:to>
      <xdr:col>6</xdr:col>
      <xdr:colOff>9525</xdr:colOff>
      <xdr:row>14</xdr:row>
      <xdr:rowOff>9525</xdr:rowOff>
    </xdr:to>
    <xdr:cxnSp macro="">
      <xdr:nvCxnSpPr>
        <xdr:cNvPr id="44" name="Straight Connector 43"/>
        <xdr:cNvCxnSpPr/>
      </xdr:nvCxnSpPr>
      <xdr:spPr>
        <a:xfrm>
          <a:off x="1819275" y="2667000"/>
          <a:ext cx="18478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</xdr:rowOff>
    </xdr:from>
    <xdr:to>
      <xdr:col>6</xdr:col>
      <xdr:colOff>9525</xdr:colOff>
      <xdr:row>13</xdr:row>
      <xdr:rowOff>11113</xdr:rowOff>
    </xdr:to>
    <xdr:cxnSp macro="">
      <xdr:nvCxnSpPr>
        <xdr:cNvPr id="45" name="Straight Connector 44"/>
        <xdr:cNvCxnSpPr/>
      </xdr:nvCxnSpPr>
      <xdr:spPr>
        <a:xfrm>
          <a:off x="1828800" y="2486025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180975</xdr:rowOff>
    </xdr:from>
    <xdr:to>
      <xdr:col>6</xdr:col>
      <xdr:colOff>0</xdr:colOff>
      <xdr:row>12</xdr:row>
      <xdr:rowOff>0</xdr:rowOff>
    </xdr:to>
    <xdr:cxnSp macro="">
      <xdr:nvCxnSpPr>
        <xdr:cNvPr id="46" name="Straight Connector 45"/>
        <xdr:cNvCxnSpPr/>
      </xdr:nvCxnSpPr>
      <xdr:spPr>
        <a:xfrm flipV="1">
          <a:off x="1828800" y="2276475"/>
          <a:ext cx="18288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0</xdr:rowOff>
    </xdr:from>
    <xdr:to>
      <xdr:col>10</xdr:col>
      <xdr:colOff>0</xdr:colOff>
      <xdr:row>7</xdr:row>
      <xdr:rowOff>9525</xdr:rowOff>
    </xdr:to>
    <xdr:cxnSp macro="">
      <xdr:nvCxnSpPr>
        <xdr:cNvPr id="47" name="Straight Connector 46"/>
        <xdr:cNvCxnSpPr/>
      </xdr:nvCxnSpPr>
      <xdr:spPr>
        <a:xfrm>
          <a:off x="4276725" y="1333500"/>
          <a:ext cx="181927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7</xdr:row>
      <xdr:rowOff>180974</xdr:rowOff>
    </xdr:from>
    <xdr:to>
      <xdr:col>10</xdr:col>
      <xdr:colOff>9525</xdr:colOff>
      <xdr:row>7</xdr:row>
      <xdr:rowOff>190499</xdr:rowOff>
    </xdr:to>
    <xdr:cxnSp macro="">
      <xdr:nvCxnSpPr>
        <xdr:cNvPr id="48" name="Straight Connector 47"/>
        <xdr:cNvCxnSpPr/>
      </xdr:nvCxnSpPr>
      <xdr:spPr>
        <a:xfrm rot="10800000" flipV="1">
          <a:off x="4257675" y="1514474"/>
          <a:ext cx="18478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0</xdr:rowOff>
    </xdr:from>
    <xdr:to>
      <xdr:col>10</xdr:col>
      <xdr:colOff>9525</xdr:colOff>
      <xdr:row>9</xdr:row>
      <xdr:rowOff>1588</xdr:rowOff>
    </xdr:to>
    <xdr:cxnSp macro="">
      <xdr:nvCxnSpPr>
        <xdr:cNvPr id="49" name="Straight Connector 48"/>
        <xdr:cNvCxnSpPr/>
      </xdr:nvCxnSpPr>
      <xdr:spPr>
        <a:xfrm>
          <a:off x="4267200" y="1714500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9</xdr:row>
      <xdr:rowOff>180975</xdr:rowOff>
    </xdr:from>
    <xdr:to>
      <xdr:col>10</xdr:col>
      <xdr:colOff>0</xdr:colOff>
      <xdr:row>10</xdr:row>
      <xdr:rowOff>0</xdr:rowOff>
    </xdr:to>
    <xdr:cxnSp macro="">
      <xdr:nvCxnSpPr>
        <xdr:cNvPr id="50" name="Straight Connector 49"/>
        <xdr:cNvCxnSpPr/>
      </xdr:nvCxnSpPr>
      <xdr:spPr>
        <a:xfrm flipV="1">
          <a:off x="4257675" y="1895475"/>
          <a:ext cx="183832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9525</xdr:rowOff>
    </xdr:from>
    <xdr:to>
      <xdr:col>10</xdr:col>
      <xdr:colOff>9525</xdr:colOff>
      <xdr:row>11</xdr:row>
      <xdr:rowOff>11113</xdr:rowOff>
    </xdr:to>
    <xdr:cxnSp macro="">
      <xdr:nvCxnSpPr>
        <xdr:cNvPr id="51" name="Straight Connector 50"/>
        <xdr:cNvCxnSpPr/>
      </xdr:nvCxnSpPr>
      <xdr:spPr>
        <a:xfrm>
          <a:off x="4267200" y="2105025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0</xdr:rowOff>
    </xdr:from>
    <xdr:to>
      <xdr:col>10</xdr:col>
      <xdr:colOff>0</xdr:colOff>
      <xdr:row>12</xdr:row>
      <xdr:rowOff>9525</xdr:rowOff>
    </xdr:to>
    <xdr:cxnSp macro="">
      <xdr:nvCxnSpPr>
        <xdr:cNvPr id="52" name="Straight Connector 51"/>
        <xdr:cNvCxnSpPr/>
      </xdr:nvCxnSpPr>
      <xdr:spPr>
        <a:xfrm>
          <a:off x="4267200" y="2286000"/>
          <a:ext cx="18288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0</xdr:rowOff>
    </xdr:from>
    <xdr:to>
      <xdr:col>10</xdr:col>
      <xdr:colOff>19050</xdr:colOff>
      <xdr:row>13</xdr:row>
      <xdr:rowOff>1588</xdr:rowOff>
    </xdr:to>
    <xdr:cxnSp macro="">
      <xdr:nvCxnSpPr>
        <xdr:cNvPr id="53" name="Straight Connector 52"/>
        <xdr:cNvCxnSpPr/>
      </xdr:nvCxnSpPr>
      <xdr:spPr>
        <a:xfrm>
          <a:off x="4267200" y="2476500"/>
          <a:ext cx="18478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14</xdr:row>
      <xdr:rowOff>0</xdr:rowOff>
    </xdr:from>
    <xdr:to>
      <xdr:col>10</xdr:col>
      <xdr:colOff>0</xdr:colOff>
      <xdr:row>14</xdr:row>
      <xdr:rowOff>1588</xdr:rowOff>
    </xdr:to>
    <xdr:cxnSp macro="">
      <xdr:nvCxnSpPr>
        <xdr:cNvPr id="54" name="Straight Connector 53"/>
        <xdr:cNvCxnSpPr/>
      </xdr:nvCxnSpPr>
      <xdr:spPr>
        <a:xfrm>
          <a:off x="4257675" y="2667000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590550</xdr:colOff>
      <xdr:row>14</xdr:row>
      <xdr:rowOff>180975</xdr:rowOff>
    </xdr:from>
    <xdr:to>
      <xdr:col>10</xdr:col>
      <xdr:colOff>9525</xdr:colOff>
      <xdr:row>15</xdr:row>
      <xdr:rowOff>0</xdr:rowOff>
    </xdr:to>
    <xdr:cxnSp macro="">
      <xdr:nvCxnSpPr>
        <xdr:cNvPr id="55" name="Straight Connector 54"/>
        <xdr:cNvCxnSpPr/>
      </xdr:nvCxnSpPr>
      <xdr:spPr>
        <a:xfrm flipV="1">
          <a:off x="4248150" y="2847975"/>
          <a:ext cx="185737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16</xdr:row>
      <xdr:rowOff>9525</xdr:rowOff>
    </xdr:from>
    <xdr:to>
      <xdr:col>10</xdr:col>
      <xdr:colOff>0</xdr:colOff>
      <xdr:row>16</xdr:row>
      <xdr:rowOff>11113</xdr:rowOff>
    </xdr:to>
    <xdr:cxnSp macro="">
      <xdr:nvCxnSpPr>
        <xdr:cNvPr id="56" name="Straight Connector 55"/>
        <xdr:cNvCxnSpPr/>
      </xdr:nvCxnSpPr>
      <xdr:spPr>
        <a:xfrm>
          <a:off x="4238625" y="3057525"/>
          <a:ext cx="185737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21</xdr:row>
      <xdr:rowOff>0</xdr:rowOff>
    </xdr:from>
    <xdr:to>
      <xdr:col>10</xdr:col>
      <xdr:colOff>342900</xdr:colOff>
      <xdr:row>21</xdr:row>
      <xdr:rowOff>9525</xdr:rowOff>
    </xdr:to>
    <xdr:cxnSp macro="">
      <xdr:nvCxnSpPr>
        <xdr:cNvPr id="57" name="Straight Arrow Connector 56"/>
        <xdr:cNvCxnSpPr/>
      </xdr:nvCxnSpPr>
      <xdr:spPr>
        <a:xfrm flipV="1">
          <a:off x="1524000" y="4000500"/>
          <a:ext cx="49149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63</xdr:row>
      <xdr:rowOff>0</xdr:rowOff>
    </xdr:from>
    <xdr:to>
      <xdr:col>10</xdr:col>
      <xdr:colOff>333375</xdr:colOff>
      <xdr:row>63</xdr:row>
      <xdr:rowOff>1588</xdr:rowOff>
    </xdr:to>
    <xdr:cxnSp macro="">
      <xdr:nvCxnSpPr>
        <xdr:cNvPr id="59" name="Straight Arrow Connector 58"/>
        <xdr:cNvCxnSpPr/>
      </xdr:nvCxnSpPr>
      <xdr:spPr>
        <a:xfrm>
          <a:off x="1504950" y="12030075"/>
          <a:ext cx="4924425" cy="1588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608806</xdr:colOff>
      <xdr:row>2</xdr:row>
      <xdr:rowOff>172244</xdr:rowOff>
    </xdr:from>
    <xdr:to>
      <xdr:col>12</xdr:col>
      <xdr:colOff>794</xdr:colOff>
      <xdr:row>6</xdr:row>
      <xdr:rowOff>57944</xdr:rowOff>
    </xdr:to>
    <xdr:cxnSp macro="">
      <xdr:nvCxnSpPr>
        <xdr:cNvPr id="61" name="Straight Connector 60"/>
        <xdr:cNvCxnSpPr/>
      </xdr:nvCxnSpPr>
      <xdr:spPr>
        <a:xfrm rot="5400000">
          <a:off x="6991350" y="923925"/>
          <a:ext cx="6477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504825</xdr:colOff>
      <xdr:row>3</xdr:row>
      <xdr:rowOff>152399</xdr:rowOff>
    </xdr:from>
    <xdr:to>
      <xdr:col>12</xdr:col>
      <xdr:colOff>104775</xdr:colOff>
      <xdr:row>4</xdr:row>
      <xdr:rowOff>28574</xdr:rowOff>
    </xdr:to>
    <xdr:cxnSp macro="">
      <xdr:nvCxnSpPr>
        <xdr:cNvPr id="63" name="Straight Connector 62"/>
        <xdr:cNvCxnSpPr/>
      </xdr:nvCxnSpPr>
      <xdr:spPr>
        <a:xfrm rot="10800000" flipV="1">
          <a:off x="7210425" y="771524"/>
          <a:ext cx="209550" cy="66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552451</xdr:colOff>
      <xdr:row>5</xdr:row>
      <xdr:rowOff>142874</xdr:rowOff>
    </xdr:from>
    <xdr:to>
      <xdr:col>12</xdr:col>
      <xdr:colOff>66676</xdr:colOff>
      <xdr:row>6</xdr:row>
      <xdr:rowOff>57149</xdr:rowOff>
    </xdr:to>
    <xdr:cxnSp macro="">
      <xdr:nvCxnSpPr>
        <xdr:cNvPr id="65" name="Straight Connector 64"/>
        <xdr:cNvCxnSpPr/>
      </xdr:nvCxnSpPr>
      <xdr:spPr>
        <a:xfrm rot="10800000" flipV="1">
          <a:off x="7258051" y="1142999"/>
          <a:ext cx="123825" cy="1047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4</xdr:row>
      <xdr:rowOff>161924</xdr:rowOff>
    </xdr:from>
    <xdr:to>
      <xdr:col>12</xdr:col>
      <xdr:colOff>76200</xdr:colOff>
      <xdr:row>5</xdr:row>
      <xdr:rowOff>38099</xdr:rowOff>
    </xdr:to>
    <xdr:cxnSp macro="">
      <xdr:nvCxnSpPr>
        <xdr:cNvPr id="67" name="Straight Connector 66"/>
        <xdr:cNvCxnSpPr/>
      </xdr:nvCxnSpPr>
      <xdr:spPr>
        <a:xfrm rot="10800000" flipV="1">
          <a:off x="7277100" y="971549"/>
          <a:ext cx="114300" cy="66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599282</xdr:colOff>
      <xdr:row>7</xdr:row>
      <xdr:rowOff>143668</xdr:rowOff>
    </xdr:from>
    <xdr:to>
      <xdr:col>11</xdr:col>
      <xdr:colOff>600870</xdr:colOff>
      <xdr:row>9</xdr:row>
      <xdr:rowOff>134143</xdr:rowOff>
    </xdr:to>
    <xdr:cxnSp macro="">
      <xdr:nvCxnSpPr>
        <xdr:cNvPr id="69" name="Straight Connector 68"/>
        <xdr:cNvCxnSpPr/>
      </xdr:nvCxnSpPr>
      <xdr:spPr>
        <a:xfrm rot="5400000">
          <a:off x="7119938" y="1709737"/>
          <a:ext cx="371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552450</xdr:colOff>
      <xdr:row>7</xdr:row>
      <xdr:rowOff>114300</xdr:rowOff>
    </xdr:from>
    <xdr:to>
      <xdr:col>12</xdr:col>
      <xdr:colOff>95250</xdr:colOff>
      <xdr:row>8</xdr:row>
      <xdr:rowOff>0</xdr:rowOff>
    </xdr:to>
    <xdr:cxnSp macro="">
      <xdr:nvCxnSpPr>
        <xdr:cNvPr id="71" name="Straight Connector 70"/>
        <xdr:cNvCxnSpPr/>
      </xdr:nvCxnSpPr>
      <xdr:spPr>
        <a:xfrm rot="10800000" flipV="1">
          <a:off x="7258050" y="1495425"/>
          <a:ext cx="152400" cy="76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552451</xdr:colOff>
      <xdr:row>8</xdr:row>
      <xdr:rowOff>123824</xdr:rowOff>
    </xdr:from>
    <xdr:to>
      <xdr:col>12</xdr:col>
      <xdr:colOff>123826</xdr:colOff>
      <xdr:row>9</xdr:row>
      <xdr:rowOff>19049</xdr:rowOff>
    </xdr:to>
    <xdr:cxnSp macro="">
      <xdr:nvCxnSpPr>
        <xdr:cNvPr id="73" name="Straight Connector 72"/>
        <xdr:cNvCxnSpPr/>
      </xdr:nvCxnSpPr>
      <xdr:spPr>
        <a:xfrm rot="10800000" flipV="1">
          <a:off x="7258051" y="1695449"/>
          <a:ext cx="180975" cy="85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17</xdr:row>
      <xdr:rowOff>180975</xdr:rowOff>
    </xdr:from>
    <xdr:to>
      <xdr:col>12</xdr:col>
      <xdr:colOff>133350</xdr:colOff>
      <xdr:row>17</xdr:row>
      <xdr:rowOff>182563</xdr:rowOff>
    </xdr:to>
    <xdr:cxnSp macro="">
      <xdr:nvCxnSpPr>
        <xdr:cNvPr id="60" name="Straight Connector 59"/>
        <xdr:cNvCxnSpPr/>
      </xdr:nvCxnSpPr>
      <xdr:spPr>
        <a:xfrm>
          <a:off x="7305675" y="3467100"/>
          <a:ext cx="2476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428625</xdr:colOff>
      <xdr:row>19</xdr:row>
      <xdr:rowOff>0</xdr:rowOff>
    </xdr:from>
    <xdr:to>
      <xdr:col>12</xdr:col>
      <xdr:colOff>247650</xdr:colOff>
      <xdr:row>19</xdr:row>
      <xdr:rowOff>9525</xdr:rowOff>
    </xdr:to>
    <xdr:cxnSp macro="">
      <xdr:nvCxnSpPr>
        <xdr:cNvPr id="64" name="Straight Connector 63"/>
        <xdr:cNvCxnSpPr/>
      </xdr:nvCxnSpPr>
      <xdr:spPr>
        <a:xfrm flipV="1">
          <a:off x="7239000" y="3667125"/>
          <a:ext cx="4286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561976</xdr:colOff>
      <xdr:row>17</xdr:row>
      <xdr:rowOff>85725</xdr:rowOff>
    </xdr:from>
    <xdr:to>
      <xdr:col>12</xdr:col>
      <xdr:colOff>57151</xdr:colOff>
      <xdr:row>18</xdr:row>
      <xdr:rowOff>38100</xdr:rowOff>
    </xdr:to>
    <xdr:cxnSp macro="">
      <xdr:nvCxnSpPr>
        <xdr:cNvPr id="68" name="Straight Connector 67"/>
        <xdr:cNvCxnSpPr/>
      </xdr:nvCxnSpPr>
      <xdr:spPr>
        <a:xfrm rot="5400000">
          <a:off x="7353301" y="3390900"/>
          <a:ext cx="142875" cy="104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552451</xdr:colOff>
      <xdr:row>18</xdr:row>
      <xdr:rowOff>152399</xdr:rowOff>
    </xdr:from>
    <xdr:to>
      <xdr:col>12</xdr:col>
      <xdr:colOff>85726</xdr:colOff>
      <xdr:row>19</xdr:row>
      <xdr:rowOff>47624</xdr:rowOff>
    </xdr:to>
    <xdr:cxnSp macro="">
      <xdr:nvCxnSpPr>
        <xdr:cNvPr id="72" name="Straight Connector 71"/>
        <xdr:cNvCxnSpPr/>
      </xdr:nvCxnSpPr>
      <xdr:spPr>
        <a:xfrm rot="10800000" flipV="1">
          <a:off x="7362826" y="3629024"/>
          <a:ext cx="142875" cy="8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37</xdr:row>
      <xdr:rowOff>76199</xdr:rowOff>
    </xdr:from>
    <xdr:to>
      <xdr:col>10</xdr:col>
      <xdr:colOff>247649</xdr:colOff>
      <xdr:row>61</xdr:row>
      <xdr:rowOff>171450</xdr:rowOff>
    </xdr:to>
    <xdr:sp macro="" textlink="">
      <xdr:nvSpPr>
        <xdr:cNvPr id="2" name="Donut 1"/>
        <xdr:cNvSpPr/>
      </xdr:nvSpPr>
      <xdr:spPr>
        <a:xfrm>
          <a:off x="1524000" y="7191374"/>
          <a:ext cx="4933949" cy="4686301"/>
        </a:xfrm>
        <a:prstGeom prst="donut">
          <a:avLst>
            <a:gd name="adj" fmla="val 252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581025</xdr:colOff>
      <xdr:row>47</xdr:row>
      <xdr:rowOff>9525</xdr:rowOff>
    </xdr:from>
    <xdr:to>
      <xdr:col>7</xdr:col>
      <xdr:colOff>47625</xdr:colOff>
      <xdr:row>50</xdr:row>
      <xdr:rowOff>66675</xdr:rowOff>
    </xdr:to>
    <xdr:sp macro="" textlink="">
      <xdr:nvSpPr>
        <xdr:cNvPr id="3" name="Oval 2"/>
        <xdr:cNvSpPr/>
      </xdr:nvSpPr>
      <xdr:spPr>
        <a:xfrm>
          <a:off x="3629025" y="9039225"/>
          <a:ext cx="685800" cy="6286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581025</xdr:colOff>
      <xdr:row>48</xdr:row>
      <xdr:rowOff>133350</xdr:rowOff>
    </xdr:from>
    <xdr:to>
      <xdr:col>7</xdr:col>
      <xdr:colOff>47625</xdr:colOff>
      <xdr:row>48</xdr:row>
      <xdr:rowOff>134938</xdr:rowOff>
    </xdr:to>
    <xdr:cxnSp macro="">
      <xdr:nvCxnSpPr>
        <xdr:cNvPr id="4" name="Straight Arrow Connector 3"/>
        <xdr:cNvCxnSpPr>
          <a:stCxn id="3" idx="2"/>
          <a:endCxn id="3" idx="6"/>
        </xdr:cNvCxnSpPr>
      </xdr:nvCxnSpPr>
      <xdr:spPr>
        <a:xfrm rot="10800000" flipH="1">
          <a:off x="3629025" y="9353550"/>
          <a:ext cx="68580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40</xdr:row>
      <xdr:rowOff>47625</xdr:rowOff>
    </xdr:from>
    <xdr:to>
      <xdr:col>8</xdr:col>
      <xdr:colOff>342900</xdr:colOff>
      <xdr:row>41</xdr:row>
      <xdr:rowOff>85725</xdr:rowOff>
    </xdr:to>
    <xdr:cxnSp macro="">
      <xdr:nvCxnSpPr>
        <xdr:cNvPr id="5" name="Straight Arrow Connector 4"/>
        <xdr:cNvCxnSpPr/>
      </xdr:nvCxnSpPr>
      <xdr:spPr>
        <a:xfrm rot="5400000" flipH="1" flipV="1">
          <a:off x="5019675" y="7772400"/>
          <a:ext cx="22860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38</xdr:row>
      <xdr:rowOff>66676</xdr:rowOff>
    </xdr:from>
    <xdr:to>
      <xdr:col>9</xdr:col>
      <xdr:colOff>0</xdr:colOff>
      <xdr:row>39</xdr:row>
      <xdr:rowOff>104776</xdr:rowOff>
    </xdr:to>
    <xdr:cxnSp macro="">
      <xdr:nvCxnSpPr>
        <xdr:cNvPr id="6" name="Straight Arrow Connector 5"/>
        <xdr:cNvCxnSpPr/>
      </xdr:nvCxnSpPr>
      <xdr:spPr>
        <a:xfrm rot="5400000">
          <a:off x="5305425" y="7372351"/>
          <a:ext cx="238125" cy="238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1</xdr:rowOff>
    </xdr:from>
    <xdr:to>
      <xdr:col>11</xdr:col>
      <xdr:colOff>0</xdr:colOff>
      <xdr:row>4</xdr:row>
      <xdr:rowOff>19050</xdr:rowOff>
    </xdr:to>
    <xdr:cxnSp macro="">
      <xdr:nvCxnSpPr>
        <xdr:cNvPr id="7" name="Straight Connector 6"/>
        <xdr:cNvCxnSpPr/>
      </xdr:nvCxnSpPr>
      <xdr:spPr>
        <a:xfrm>
          <a:off x="1228725" y="809626"/>
          <a:ext cx="5581650" cy="1904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608806</xdr:colOff>
      <xdr:row>3</xdr:row>
      <xdr:rowOff>172244</xdr:rowOff>
    </xdr:from>
    <xdr:to>
      <xdr:col>2</xdr:col>
      <xdr:colOff>794</xdr:colOff>
      <xdr:row>4</xdr:row>
      <xdr:rowOff>172244</xdr:rowOff>
    </xdr:to>
    <xdr:cxnSp macro="">
      <xdr:nvCxnSpPr>
        <xdr:cNvPr id="8" name="Straight Connector 7"/>
        <xdr:cNvCxnSpPr/>
      </xdr:nvCxnSpPr>
      <xdr:spPr>
        <a:xfrm rot="5400000">
          <a:off x="1123950" y="885825"/>
          <a:ext cx="19050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0</xdr:rowOff>
    </xdr:from>
    <xdr:to>
      <xdr:col>11</xdr:col>
      <xdr:colOff>0</xdr:colOff>
      <xdr:row>5</xdr:row>
      <xdr:rowOff>9526</xdr:rowOff>
    </xdr:to>
    <xdr:cxnSp macro="">
      <xdr:nvCxnSpPr>
        <xdr:cNvPr id="9" name="Straight Connector 8"/>
        <xdr:cNvCxnSpPr/>
      </xdr:nvCxnSpPr>
      <xdr:spPr>
        <a:xfrm flipV="1">
          <a:off x="1219200" y="1000125"/>
          <a:ext cx="5591175" cy="952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608806</xdr:colOff>
      <xdr:row>4</xdr:row>
      <xdr:rowOff>794</xdr:rowOff>
    </xdr:from>
    <xdr:to>
      <xdr:col>11</xdr:col>
      <xdr:colOff>794</xdr:colOff>
      <xdr:row>5</xdr:row>
      <xdr:rowOff>19844</xdr:rowOff>
    </xdr:to>
    <xdr:cxnSp macro="">
      <xdr:nvCxnSpPr>
        <xdr:cNvPr id="10" name="Straight Connector 9"/>
        <xdr:cNvCxnSpPr/>
      </xdr:nvCxnSpPr>
      <xdr:spPr>
        <a:xfrm rot="5400000">
          <a:off x="6705600" y="914400"/>
          <a:ext cx="20955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332581</xdr:colOff>
      <xdr:row>5</xdr:row>
      <xdr:rowOff>29369</xdr:rowOff>
    </xdr:from>
    <xdr:to>
      <xdr:col>2</xdr:col>
      <xdr:colOff>334169</xdr:colOff>
      <xdr:row>18</xdr:row>
      <xdr:rowOff>10319</xdr:rowOff>
    </xdr:to>
    <xdr:cxnSp macro="">
      <xdr:nvCxnSpPr>
        <xdr:cNvPr id="11" name="Straight Connector 10"/>
        <xdr:cNvCxnSpPr/>
      </xdr:nvCxnSpPr>
      <xdr:spPr>
        <a:xfrm rot="5400000">
          <a:off x="323850" y="2257425"/>
          <a:ext cx="245745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313531</xdr:colOff>
      <xdr:row>5</xdr:row>
      <xdr:rowOff>10319</xdr:rowOff>
    </xdr:from>
    <xdr:to>
      <xdr:col>10</xdr:col>
      <xdr:colOff>315119</xdr:colOff>
      <xdr:row>18</xdr:row>
      <xdr:rowOff>10319</xdr:rowOff>
    </xdr:to>
    <xdr:cxnSp macro="">
      <xdr:nvCxnSpPr>
        <xdr:cNvPr id="12" name="Straight Connector 11"/>
        <xdr:cNvCxnSpPr/>
      </xdr:nvCxnSpPr>
      <xdr:spPr>
        <a:xfrm rot="5400000">
          <a:off x="5286375" y="2247900"/>
          <a:ext cx="247650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180975</xdr:rowOff>
    </xdr:from>
    <xdr:to>
      <xdr:col>11</xdr:col>
      <xdr:colOff>9525</xdr:colOff>
      <xdr:row>18</xdr:row>
      <xdr:rowOff>0</xdr:rowOff>
    </xdr:to>
    <xdr:cxnSp macro="">
      <xdr:nvCxnSpPr>
        <xdr:cNvPr id="13" name="Straight Connector 12"/>
        <xdr:cNvCxnSpPr/>
      </xdr:nvCxnSpPr>
      <xdr:spPr>
        <a:xfrm flipV="1">
          <a:off x="1219200" y="3467100"/>
          <a:ext cx="5600700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17</xdr:row>
      <xdr:rowOff>180976</xdr:rowOff>
    </xdr:from>
    <xdr:to>
      <xdr:col>1</xdr:col>
      <xdr:colOff>600075</xdr:colOff>
      <xdr:row>19</xdr:row>
      <xdr:rowOff>28576</xdr:rowOff>
    </xdr:to>
    <xdr:cxnSp macro="">
      <xdr:nvCxnSpPr>
        <xdr:cNvPr id="14" name="Straight Connector 13"/>
        <xdr:cNvCxnSpPr/>
      </xdr:nvCxnSpPr>
      <xdr:spPr>
        <a:xfrm rot="5400000">
          <a:off x="1090613" y="3576638"/>
          <a:ext cx="228600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18</xdr:row>
      <xdr:rowOff>180975</xdr:rowOff>
    </xdr:from>
    <xdr:to>
      <xdr:col>11</xdr:col>
      <xdr:colOff>9525</xdr:colOff>
      <xdr:row>19</xdr:row>
      <xdr:rowOff>28575</xdr:rowOff>
    </xdr:to>
    <xdr:cxnSp macro="">
      <xdr:nvCxnSpPr>
        <xdr:cNvPr id="15" name="Straight Connector 14"/>
        <xdr:cNvCxnSpPr/>
      </xdr:nvCxnSpPr>
      <xdr:spPr>
        <a:xfrm flipV="1">
          <a:off x="1209675" y="3657600"/>
          <a:ext cx="5610225" cy="3810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599282</xdr:colOff>
      <xdr:row>17</xdr:row>
      <xdr:rowOff>172243</xdr:rowOff>
    </xdr:from>
    <xdr:to>
      <xdr:col>10</xdr:col>
      <xdr:colOff>600870</xdr:colOff>
      <xdr:row>18</xdr:row>
      <xdr:rowOff>162718</xdr:rowOff>
    </xdr:to>
    <xdr:cxnSp macro="">
      <xdr:nvCxnSpPr>
        <xdr:cNvPr id="16" name="Straight Connector 15"/>
        <xdr:cNvCxnSpPr/>
      </xdr:nvCxnSpPr>
      <xdr:spPr>
        <a:xfrm rot="5400000">
          <a:off x="6719888" y="3548062"/>
          <a:ext cx="180975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</xdr:row>
      <xdr:rowOff>190499</xdr:rowOff>
    </xdr:from>
    <xdr:to>
      <xdr:col>6</xdr:col>
      <xdr:colOff>9525</xdr:colOff>
      <xdr:row>18</xdr:row>
      <xdr:rowOff>19053</xdr:rowOff>
    </xdr:to>
    <xdr:cxnSp macro="">
      <xdr:nvCxnSpPr>
        <xdr:cNvPr id="17" name="Straight Connector 16"/>
        <xdr:cNvCxnSpPr/>
      </xdr:nvCxnSpPr>
      <xdr:spPr>
        <a:xfrm rot="16200000" flipH="1">
          <a:off x="2414586" y="2243139"/>
          <a:ext cx="2495554" cy="9524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5</xdr:row>
      <xdr:rowOff>1</xdr:rowOff>
    </xdr:from>
    <xdr:to>
      <xdr:col>7</xdr:col>
      <xdr:colOff>0</xdr:colOff>
      <xdr:row>18</xdr:row>
      <xdr:rowOff>1</xdr:rowOff>
    </xdr:to>
    <xdr:cxnSp macro="">
      <xdr:nvCxnSpPr>
        <xdr:cNvPr id="18" name="Straight Connector 17"/>
        <xdr:cNvCxnSpPr/>
      </xdr:nvCxnSpPr>
      <xdr:spPr>
        <a:xfrm rot="5400000">
          <a:off x="3024188" y="2233613"/>
          <a:ext cx="2476500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599281</xdr:colOff>
      <xdr:row>5</xdr:row>
      <xdr:rowOff>19844</xdr:rowOff>
    </xdr:from>
    <xdr:to>
      <xdr:col>2</xdr:col>
      <xdr:colOff>600869</xdr:colOff>
      <xdr:row>6</xdr:row>
      <xdr:rowOff>794</xdr:rowOff>
    </xdr:to>
    <xdr:cxnSp macro="">
      <xdr:nvCxnSpPr>
        <xdr:cNvPr id="19" name="Straight Connector 18"/>
        <xdr:cNvCxnSpPr/>
      </xdr:nvCxnSpPr>
      <xdr:spPr>
        <a:xfrm rot="5400000">
          <a:off x="1733550" y="1104900"/>
          <a:ext cx="1714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8732</xdr:colOff>
      <xdr:row>5</xdr:row>
      <xdr:rowOff>10318</xdr:rowOff>
    </xdr:from>
    <xdr:to>
      <xdr:col>10</xdr:col>
      <xdr:colOff>10320</xdr:colOff>
      <xdr:row>6</xdr:row>
      <xdr:rowOff>793</xdr:rowOff>
    </xdr:to>
    <xdr:cxnSp macro="">
      <xdr:nvCxnSpPr>
        <xdr:cNvPr id="20" name="Straight Connector 19"/>
        <xdr:cNvCxnSpPr/>
      </xdr:nvCxnSpPr>
      <xdr:spPr>
        <a:xfrm rot="5400000">
          <a:off x="6129338" y="1100137"/>
          <a:ext cx="18097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6</xdr:row>
      <xdr:rowOff>0</xdr:rowOff>
    </xdr:from>
    <xdr:to>
      <xdr:col>6</xdr:col>
      <xdr:colOff>19050</xdr:colOff>
      <xdr:row>6</xdr:row>
      <xdr:rowOff>1588</xdr:rowOff>
    </xdr:to>
    <xdr:cxnSp macro="">
      <xdr:nvCxnSpPr>
        <xdr:cNvPr id="21" name="Straight Connector 20"/>
        <xdr:cNvCxnSpPr/>
      </xdr:nvCxnSpPr>
      <xdr:spPr>
        <a:xfrm>
          <a:off x="1819275" y="1190625"/>
          <a:ext cx="185737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6</xdr:row>
      <xdr:rowOff>0</xdr:rowOff>
    </xdr:from>
    <xdr:to>
      <xdr:col>10</xdr:col>
      <xdr:colOff>9525</xdr:colOff>
      <xdr:row>6</xdr:row>
      <xdr:rowOff>9525</xdr:rowOff>
    </xdr:to>
    <xdr:cxnSp macro="">
      <xdr:nvCxnSpPr>
        <xdr:cNvPr id="22" name="Straight Connector 21"/>
        <xdr:cNvCxnSpPr/>
      </xdr:nvCxnSpPr>
      <xdr:spPr>
        <a:xfrm>
          <a:off x="4276725" y="1190625"/>
          <a:ext cx="19431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599281</xdr:colOff>
      <xdr:row>16</xdr:row>
      <xdr:rowOff>181769</xdr:rowOff>
    </xdr:from>
    <xdr:to>
      <xdr:col>2</xdr:col>
      <xdr:colOff>600869</xdr:colOff>
      <xdr:row>17</xdr:row>
      <xdr:rowOff>181769</xdr:rowOff>
    </xdr:to>
    <xdr:cxnSp macro="">
      <xdr:nvCxnSpPr>
        <xdr:cNvPr id="23" name="Straight Connector 22"/>
        <xdr:cNvCxnSpPr/>
      </xdr:nvCxnSpPr>
      <xdr:spPr>
        <a:xfrm rot="5400000">
          <a:off x="1724025" y="3371850"/>
          <a:ext cx="1905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17</xdr:row>
      <xdr:rowOff>9525</xdr:rowOff>
    </xdr:from>
    <xdr:to>
      <xdr:col>6</xdr:col>
      <xdr:colOff>19050</xdr:colOff>
      <xdr:row>17</xdr:row>
      <xdr:rowOff>11113</xdr:rowOff>
    </xdr:to>
    <xdr:cxnSp macro="">
      <xdr:nvCxnSpPr>
        <xdr:cNvPr id="24" name="Straight Connector 23"/>
        <xdr:cNvCxnSpPr/>
      </xdr:nvCxnSpPr>
      <xdr:spPr>
        <a:xfrm>
          <a:off x="1809750" y="3295650"/>
          <a:ext cx="18669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17</xdr:row>
      <xdr:rowOff>0</xdr:rowOff>
    </xdr:from>
    <xdr:to>
      <xdr:col>10</xdr:col>
      <xdr:colOff>9525</xdr:colOff>
      <xdr:row>17</xdr:row>
      <xdr:rowOff>9525</xdr:rowOff>
    </xdr:to>
    <xdr:cxnSp macro="">
      <xdr:nvCxnSpPr>
        <xdr:cNvPr id="25" name="Straight Connector 24"/>
        <xdr:cNvCxnSpPr/>
      </xdr:nvCxnSpPr>
      <xdr:spPr>
        <a:xfrm flipV="1">
          <a:off x="4257675" y="3286125"/>
          <a:ext cx="19621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608806</xdr:colOff>
      <xdr:row>17</xdr:row>
      <xdr:rowOff>794</xdr:rowOff>
    </xdr:from>
    <xdr:to>
      <xdr:col>10</xdr:col>
      <xdr:colOff>794</xdr:colOff>
      <xdr:row>18</xdr:row>
      <xdr:rowOff>794</xdr:rowOff>
    </xdr:to>
    <xdr:cxnSp macro="">
      <xdr:nvCxnSpPr>
        <xdr:cNvPr id="26" name="Straight Connector 25"/>
        <xdr:cNvCxnSpPr/>
      </xdr:nvCxnSpPr>
      <xdr:spPr>
        <a:xfrm rot="5400000">
          <a:off x="6086475" y="3352800"/>
          <a:ext cx="190500" cy="5873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</xdr:row>
      <xdr:rowOff>0</xdr:rowOff>
    </xdr:from>
    <xdr:to>
      <xdr:col>6</xdr:col>
      <xdr:colOff>19050</xdr:colOff>
      <xdr:row>7</xdr:row>
      <xdr:rowOff>1588</xdr:rowOff>
    </xdr:to>
    <xdr:cxnSp macro="">
      <xdr:nvCxnSpPr>
        <xdr:cNvPr id="27" name="Straight Connector 26"/>
        <xdr:cNvCxnSpPr/>
      </xdr:nvCxnSpPr>
      <xdr:spPr>
        <a:xfrm>
          <a:off x="1838325" y="1381125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8</xdr:row>
      <xdr:rowOff>0</xdr:rowOff>
    </xdr:from>
    <xdr:to>
      <xdr:col>6</xdr:col>
      <xdr:colOff>0</xdr:colOff>
      <xdr:row>8</xdr:row>
      <xdr:rowOff>1588</xdr:rowOff>
    </xdr:to>
    <xdr:cxnSp macro="">
      <xdr:nvCxnSpPr>
        <xdr:cNvPr id="28" name="Straight Connector 27"/>
        <xdr:cNvCxnSpPr/>
      </xdr:nvCxnSpPr>
      <xdr:spPr>
        <a:xfrm>
          <a:off x="1819275" y="1571625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6</xdr:col>
      <xdr:colOff>9525</xdr:colOff>
      <xdr:row>9</xdr:row>
      <xdr:rowOff>1588</xdr:rowOff>
    </xdr:to>
    <xdr:cxnSp macro="">
      <xdr:nvCxnSpPr>
        <xdr:cNvPr id="29" name="Straight Connector 28"/>
        <xdr:cNvCxnSpPr/>
      </xdr:nvCxnSpPr>
      <xdr:spPr>
        <a:xfrm>
          <a:off x="1828800" y="1762125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0</xdr:rowOff>
    </xdr:from>
    <xdr:to>
      <xdr:col>6</xdr:col>
      <xdr:colOff>0</xdr:colOff>
      <xdr:row>10</xdr:row>
      <xdr:rowOff>1588</xdr:rowOff>
    </xdr:to>
    <xdr:cxnSp macro="">
      <xdr:nvCxnSpPr>
        <xdr:cNvPr id="30" name="Straight Connector 29"/>
        <xdr:cNvCxnSpPr/>
      </xdr:nvCxnSpPr>
      <xdr:spPr>
        <a:xfrm>
          <a:off x="1828800" y="1952625"/>
          <a:ext cx="18288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11</xdr:row>
      <xdr:rowOff>0</xdr:rowOff>
    </xdr:from>
    <xdr:to>
      <xdr:col>5</xdr:col>
      <xdr:colOff>600075</xdr:colOff>
      <xdr:row>11</xdr:row>
      <xdr:rowOff>9525</xdr:rowOff>
    </xdr:to>
    <xdr:cxnSp macro="">
      <xdr:nvCxnSpPr>
        <xdr:cNvPr id="31" name="Straight Connector 30"/>
        <xdr:cNvCxnSpPr/>
      </xdr:nvCxnSpPr>
      <xdr:spPr>
        <a:xfrm>
          <a:off x="1819275" y="2143125"/>
          <a:ext cx="18288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0</xdr:rowOff>
    </xdr:from>
    <xdr:to>
      <xdr:col>6</xdr:col>
      <xdr:colOff>0</xdr:colOff>
      <xdr:row>16</xdr:row>
      <xdr:rowOff>19050</xdr:rowOff>
    </xdr:to>
    <xdr:cxnSp macro="">
      <xdr:nvCxnSpPr>
        <xdr:cNvPr id="32" name="Straight Connector 31"/>
        <xdr:cNvCxnSpPr/>
      </xdr:nvCxnSpPr>
      <xdr:spPr>
        <a:xfrm>
          <a:off x="1828800" y="3095625"/>
          <a:ext cx="1828800" cy="190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180975</xdr:rowOff>
    </xdr:from>
    <xdr:to>
      <xdr:col>6</xdr:col>
      <xdr:colOff>0</xdr:colOff>
      <xdr:row>14</xdr:row>
      <xdr:rowOff>182563</xdr:rowOff>
    </xdr:to>
    <xdr:cxnSp macro="">
      <xdr:nvCxnSpPr>
        <xdr:cNvPr id="33" name="Straight Connector 32"/>
        <xdr:cNvCxnSpPr/>
      </xdr:nvCxnSpPr>
      <xdr:spPr>
        <a:xfrm>
          <a:off x="1828800" y="2895600"/>
          <a:ext cx="18288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14</xdr:row>
      <xdr:rowOff>0</xdr:rowOff>
    </xdr:from>
    <xdr:to>
      <xdr:col>6</xdr:col>
      <xdr:colOff>9525</xdr:colOff>
      <xdr:row>14</xdr:row>
      <xdr:rowOff>9525</xdr:rowOff>
    </xdr:to>
    <xdr:cxnSp macro="">
      <xdr:nvCxnSpPr>
        <xdr:cNvPr id="34" name="Straight Connector 33"/>
        <xdr:cNvCxnSpPr/>
      </xdr:nvCxnSpPr>
      <xdr:spPr>
        <a:xfrm>
          <a:off x="1819275" y="2714625"/>
          <a:ext cx="18478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</xdr:rowOff>
    </xdr:from>
    <xdr:to>
      <xdr:col>6</xdr:col>
      <xdr:colOff>9525</xdr:colOff>
      <xdr:row>13</xdr:row>
      <xdr:rowOff>11113</xdr:rowOff>
    </xdr:to>
    <xdr:cxnSp macro="">
      <xdr:nvCxnSpPr>
        <xdr:cNvPr id="35" name="Straight Connector 34"/>
        <xdr:cNvCxnSpPr/>
      </xdr:nvCxnSpPr>
      <xdr:spPr>
        <a:xfrm>
          <a:off x="1828800" y="2533650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180975</xdr:rowOff>
    </xdr:from>
    <xdr:to>
      <xdr:col>6</xdr:col>
      <xdr:colOff>0</xdr:colOff>
      <xdr:row>12</xdr:row>
      <xdr:rowOff>0</xdr:rowOff>
    </xdr:to>
    <xdr:cxnSp macro="">
      <xdr:nvCxnSpPr>
        <xdr:cNvPr id="36" name="Straight Connector 35"/>
        <xdr:cNvCxnSpPr/>
      </xdr:nvCxnSpPr>
      <xdr:spPr>
        <a:xfrm flipV="1">
          <a:off x="1828800" y="2324100"/>
          <a:ext cx="18288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0</xdr:rowOff>
    </xdr:from>
    <xdr:to>
      <xdr:col>10</xdr:col>
      <xdr:colOff>0</xdr:colOff>
      <xdr:row>7</xdr:row>
      <xdr:rowOff>9525</xdr:rowOff>
    </xdr:to>
    <xdr:cxnSp macro="">
      <xdr:nvCxnSpPr>
        <xdr:cNvPr id="37" name="Straight Connector 36"/>
        <xdr:cNvCxnSpPr/>
      </xdr:nvCxnSpPr>
      <xdr:spPr>
        <a:xfrm>
          <a:off x="4276725" y="1381125"/>
          <a:ext cx="193357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7</xdr:row>
      <xdr:rowOff>180974</xdr:rowOff>
    </xdr:from>
    <xdr:to>
      <xdr:col>10</xdr:col>
      <xdr:colOff>9525</xdr:colOff>
      <xdr:row>7</xdr:row>
      <xdr:rowOff>190499</xdr:rowOff>
    </xdr:to>
    <xdr:cxnSp macro="">
      <xdr:nvCxnSpPr>
        <xdr:cNvPr id="38" name="Straight Connector 37"/>
        <xdr:cNvCxnSpPr/>
      </xdr:nvCxnSpPr>
      <xdr:spPr>
        <a:xfrm rot="10800000" flipV="1">
          <a:off x="4257675" y="1562099"/>
          <a:ext cx="19621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0</xdr:rowOff>
    </xdr:from>
    <xdr:to>
      <xdr:col>10</xdr:col>
      <xdr:colOff>9525</xdr:colOff>
      <xdr:row>9</xdr:row>
      <xdr:rowOff>1588</xdr:rowOff>
    </xdr:to>
    <xdr:cxnSp macro="">
      <xdr:nvCxnSpPr>
        <xdr:cNvPr id="39" name="Straight Connector 38"/>
        <xdr:cNvCxnSpPr/>
      </xdr:nvCxnSpPr>
      <xdr:spPr>
        <a:xfrm>
          <a:off x="4267200" y="1762125"/>
          <a:ext cx="19526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9</xdr:row>
      <xdr:rowOff>180975</xdr:rowOff>
    </xdr:from>
    <xdr:to>
      <xdr:col>10</xdr:col>
      <xdr:colOff>0</xdr:colOff>
      <xdr:row>10</xdr:row>
      <xdr:rowOff>0</xdr:rowOff>
    </xdr:to>
    <xdr:cxnSp macro="">
      <xdr:nvCxnSpPr>
        <xdr:cNvPr id="40" name="Straight Connector 39"/>
        <xdr:cNvCxnSpPr/>
      </xdr:nvCxnSpPr>
      <xdr:spPr>
        <a:xfrm flipV="1">
          <a:off x="4257675" y="1943100"/>
          <a:ext cx="195262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9525</xdr:rowOff>
    </xdr:from>
    <xdr:to>
      <xdr:col>10</xdr:col>
      <xdr:colOff>9525</xdr:colOff>
      <xdr:row>11</xdr:row>
      <xdr:rowOff>11113</xdr:rowOff>
    </xdr:to>
    <xdr:cxnSp macro="">
      <xdr:nvCxnSpPr>
        <xdr:cNvPr id="41" name="Straight Connector 40"/>
        <xdr:cNvCxnSpPr/>
      </xdr:nvCxnSpPr>
      <xdr:spPr>
        <a:xfrm>
          <a:off x="4267200" y="2152650"/>
          <a:ext cx="19526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0</xdr:rowOff>
    </xdr:from>
    <xdr:to>
      <xdr:col>10</xdr:col>
      <xdr:colOff>0</xdr:colOff>
      <xdr:row>12</xdr:row>
      <xdr:rowOff>9525</xdr:rowOff>
    </xdr:to>
    <xdr:cxnSp macro="">
      <xdr:nvCxnSpPr>
        <xdr:cNvPr id="42" name="Straight Connector 41"/>
        <xdr:cNvCxnSpPr/>
      </xdr:nvCxnSpPr>
      <xdr:spPr>
        <a:xfrm>
          <a:off x="4267200" y="2333625"/>
          <a:ext cx="19431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0</xdr:rowOff>
    </xdr:from>
    <xdr:to>
      <xdr:col>10</xdr:col>
      <xdr:colOff>19050</xdr:colOff>
      <xdr:row>13</xdr:row>
      <xdr:rowOff>1588</xdr:rowOff>
    </xdr:to>
    <xdr:cxnSp macro="">
      <xdr:nvCxnSpPr>
        <xdr:cNvPr id="43" name="Straight Connector 42"/>
        <xdr:cNvCxnSpPr/>
      </xdr:nvCxnSpPr>
      <xdr:spPr>
        <a:xfrm>
          <a:off x="4267200" y="2524125"/>
          <a:ext cx="19621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14</xdr:row>
      <xdr:rowOff>0</xdr:rowOff>
    </xdr:from>
    <xdr:to>
      <xdr:col>10</xdr:col>
      <xdr:colOff>0</xdr:colOff>
      <xdr:row>14</xdr:row>
      <xdr:rowOff>1588</xdr:rowOff>
    </xdr:to>
    <xdr:cxnSp macro="">
      <xdr:nvCxnSpPr>
        <xdr:cNvPr id="44" name="Straight Connector 43"/>
        <xdr:cNvCxnSpPr/>
      </xdr:nvCxnSpPr>
      <xdr:spPr>
        <a:xfrm>
          <a:off x="4257675" y="2714625"/>
          <a:ext cx="19526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590550</xdr:colOff>
      <xdr:row>14</xdr:row>
      <xdr:rowOff>180975</xdr:rowOff>
    </xdr:from>
    <xdr:to>
      <xdr:col>10</xdr:col>
      <xdr:colOff>9525</xdr:colOff>
      <xdr:row>15</xdr:row>
      <xdr:rowOff>0</xdr:rowOff>
    </xdr:to>
    <xdr:cxnSp macro="">
      <xdr:nvCxnSpPr>
        <xdr:cNvPr id="45" name="Straight Connector 44"/>
        <xdr:cNvCxnSpPr/>
      </xdr:nvCxnSpPr>
      <xdr:spPr>
        <a:xfrm flipV="1">
          <a:off x="4248150" y="2895600"/>
          <a:ext cx="197167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16</xdr:row>
      <xdr:rowOff>9525</xdr:rowOff>
    </xdr:from>
    <xdr:to>
      <xdr:col>10</xdr:col>
      <xdr:colOff>0</xdr:colOff>
      <xdr:row>16</xdr:row>
      <xdr:rowOff>11113</xdr:rowOff>
    </xdr:to>
    <xdr:cxnSp macro="">
      <xdr:nvCxnSpPr>
        <xdr:cNvPr id="46" name="Straight Connector 45"/>
        <xdr:cNvCxnSpPr/>
      </xdr:nvCxnSpPr>
      <xdr:spPr>
        <a:xfrm>
          <a:off x="4238625" y="3105150"/>
          <a:ext cx="197167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21</xdr:row>
      <xdr:rowOff>0</xdr:rowOff>
    </xdr:from>
    <xdr:to>
      <xdr:col>10</xdr:col>
      <xdr:colOff>342900</xdr:colOff>
      <xdr:row>21</xdr:row>
      <xdr:rowOff>9525</xdr:rowOff>
    </xdr:to>
    <xdr:cxnSp macro="">
      <xdr:nvCxnSpPr>
        <xdr:cNvPr id="47" name="Straight Arrow Connector 46"/>
        <xdr:cNvCxnSpPr/>
      </xdr:nvCxnSpPr>
      <xdr:spPr>
        <a:xfrm flipV="1">
          <a:off x="1524000" y="4048125"/>
          <a:ext cx="50292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63</xdr:row>
      <xdr:rowOff>0</xdr:rowOff>
    </xdr:from>
    <xdr:to>
      <xdr:col>10</xdr:col>
      <xdr:colOff>333375</xdr:colOff>
      <xdr:row>63</xdr:row>
      <xdr:rowOff>1588</xdr:rowOff>
    </xdr:to>
    <xdr:cxnSp macro="">
      <xdr:nvCxnSpPr>
        <xdr:cNvPr id="48" name="Straight Arrow Connector 47"/>
        <xdr:cNvCxnSpPr/>
      </xdr:nvCxnSpPr>
      <xdr:spPr>
        <a:xfrm>
          <a:off x="1504950" y="12087225"/>
          <a:ext cx="5038725" cy="1588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608806</xdr:colOff>
      <xdr:row>2</xdr:row>
      <xdr:rowOff>172244</xdr:rowOff>
    </xdr:from>
    <xdr:to>
      <xdr:col>12</xdr:col>
      <xdr:colOff>794</xdr:colOff>
      <xdr:row>6</xdr:row>
      <xdr:rowOff>57944</xdr:rowOff>
    </xdr:to>
    <xdr:cxnSp macro="">
      <xdr:nvCxnSpPr>
        <xdr:cNvPr id="49" name="Straight Connector 48"/>
        <xdr:cNvCxnSpPr/>
      </xdr:nvCxnSpPr>
      <xdr:spPr>
        <a:xfrm rot="5400000">
          <a:off x="7096125" y="923925"/>
          <a:ext cx="6477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504825</xdr:colOff>
      <xdr:row>3</xdr:row>
      <xdr:rowOff>152399</xdr:rowOff>
    </xdr:from>
    <xdr:to>
      <xdr:col>12</xdr:col>
      <xdr:colOff>104775</xdr:colOff>
      <xdr:row>4</xdr:row>
      <xdr:rowOff>28574</xdr:rowOff>
    </xdr:to>
    <xdr:cxnSp macro="">
      <xdr:nvCxnSpPr>
        <xdr:cNvPr id="50" name="Straight Connector 49"/>
        <xdr:cNvCxnSpPr/>
      </xdr:nvCxnSpPr>
      <xdr:spPr>
        <a:xfrm rot="10800000" flipV="1">
          <a:off x="7315200" y="771524"/>
          <a:ext cx="209550" cy="66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552451</xdr:colOff>
      <xdr:row>5</xdr:row>
      <xdr:rowOff>142874</xdr:rowOff>
    </xdr:from>
    <xdr:to>
      <xdr:col>12</xdr:col>
      <xdr:colOff>66676</xdr:colOff>
      <xdr:row>6</xdr:row>
      <xdr:rowOff>57149</xdr:rowOff>
    </xdr:to>
    <xdr:cxnSp macro="">
      <xdr:nvCxnSpPr>
        <xdr:cNvPr id="51" name="Straight Connector 50"/>
        <xdr:cNvCxnSpPr/>
      </xdr:nvCxnSpPr>
      <xdr:spPr>
        <a:xfrm rot="10800000" flipV="1">
          <a:off x="7362826" y="1142999"/>
          <a:ext cx="123825" cy="1047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4</xdr:row>
      <xdr:rowOff>161924</xdr:rowOff>
    </xdr:from>
    <xdr:to>
      <xdr:col>12</xdr:col>
      <xdr:colOff>76200</xdr:colOff>
      <xdr:row>5</xdr:row>
      <xdr:rowOff>38099</xdr:rowOff>
    </xdr:to>
    <xdr:cxnSp macro="">
      <xdr:nvCxnSpPr>
        <xdr:cNvPr id="52" name="Straight Connector 51"/>
        <xdr:cNvCxnSpPr/>
      </xdr:nvCxnSpPr>
      <xdr:spPr>
        <a:xfrm rot="10800000" flipV="1">
          <a:off x="7381875" y="971549"/>
          <a:ext cx="114300" cy="66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599282</xdr:colOff>
      <xdr:row>7</xdr:row>
      <xdr:rowOff>143668</xdr:rowOff>
    </xdr:from>
    <xdr:to>
      <xdr:col>11</xdr:col>
      <xdr:colOff>600870</xdr:colOff>
      <xdr:row>9</xdr:row>
      <xdr:rowOff>134143</xdr:rowOff>
    </xdr:to>
    <xdr:cxnSp macro="">
      <xdr:nvCxnSpPr>
        <xdr:cNvPr id="53" name="Straight Connector 52"/>
        <xdr:cNvCxnSpPr/>
      </xdr:nvCxnSpPr>
      <xdr:spPr>
        <a:xfrm rot="5400000">
          <a:off x="7224713" y="1709737"/>
          <a:ext cx="371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552450</xdr:colOff>
      <xdr:row>7</xdr:row>
      <xdr:rowOff>114300</xdr:rowOff>
    </xdr:from>
    <xdr:to>
      <xdr:col>12</xdr:col>
      <xdr:colOff>95250</xdr:colOff>
      <xdr:row>8</xdr:row>
      <xdr:rowOff>0</xdr:rowOff>
    </xdr:to>
    <xdr:cxnSp macro="">
      <xdr:nvCxnSpPr>
        <xdr:cNvPr id="54" name="Straight Connector 53"/>
        <xdr:cNvCxnSpPr/>
      </xdr:nvCxnSpPr>
      <xdr:spPr>
        <a:xfrm rot="10800000" flipV="1">
          <a:off x="7362825" y="1495425"/>
          <a:ext cx="152400" cy="76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552451</xdr:colOff>
      <xdr:row>8</xdr:row>
      <xdr:rowOff>123824</xdr:rowOff>
    </xdr:from>
    <xdr:to>
      <xdr:col>12</xdr:col>
      <xdr:colOff>123826</xdr:colOff>
      <xdr:row>9</xdr:row>
      <xdr:rowOff>19049</xdr:rowOff>
    </xdr:to>
    <xdr:cxnSp macro="">
      <xdr:nvCxnSpPr>
        <xdr:cNvPr id="55" name="Straight Connector 54"/>
        <xdr:cNvCxnSpPr/>
      </xdr:nvCxnSpPr>
      <xdr:spPr>
        <a:xfrm rot="10800000" flipV="1">
          <a:off x="7362826" y="1695449"/>
          <a:ext cx="180975" cy="85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17</xdr:row>
      <xdr:rowOff>180975</xdr:rowOff>
    </xdr:from>
    <xdr:to>
      <xdr:col>12</xdr:col>
      <xdr:colOff>133350</xdr:colOff>
      <xdr:row>17</xdr:row>
      <xdr:rowOff>182563</xdr:rowOff>
    </xdr:to>
    <xdr:cxnSp macro="">
      <xdr:nvCxnSpPr>
        <xdr:cNvPr id="56" name="Straight Connector 55"/>
        <xdr:cNvCxnSpPr/>
      </xdr:nvCxnSpPr>
      <xdr:spPr>
        <a:xfrm>
          <a:off x="7305675" y="3467100"/>
          <a:ext cx="2476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428625</xdr:colOff>
      <xdr:row>19</xdr:row>
      <xdr:rowOff>0</xdr:rowOff>
    </xdr:from>
    <xdr:to>
      <xdr:col>12</xdr:col>
      <xdr:colOff>247650</xdr:colOff>
      <xdr:row>19</xdr:row>
      <xdr:rowOff>9525</xdr:rowOff>
    </xdr:to>
    <xdr:cxnSp macro="">
      <xdr:nvCxnSpPr>
        <xdr:cNvPr id="57" name="Straight Connector 56"/>
        <xdr:cNvCxnSpPr/>
      </xdr:nvCxnSpPr>
      <xdr:spPr>
        <a:xfrm flipV="1">
          <a:off x="7239000" y="3667125"/>
          <a:ext cx="4286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561976</xdr:colOff>
      <xdr:row>17</xdr:row>
      <xdr:rowOff>85725</xdr:rowOff>
    </xdr:from>
    <xdr:to>
      <xdr:col>12</xdr:col>
      <xdr:colOff>57151</xdr:colOff>
      <xdr:row>18</xdr:row>
      <xdr:rowOff>38100</xdr:rowOff>
    </xdr:to>
    <xdr:cxnSp macro="">
      <xdr:nvCxnSpPr>
        <xdr:cNvPr id="58" name="Straight Connector 57"/>
        <xdr:cNvCxnSpPr/>
      </xdr:nvCxnSpPr>
      <xdr:spPr>
        <a:xfrm rot="5400000">
          <a:off x="7353301" y="3390900"/>
          <a:ext cx="142875" cy="104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552451</xdr:colOff>
      <xdr:row>18</xdr:row>
      <xdr:rowOff>152399</xdr:rowOff>
    </xdr:from>
    <xdr:to>
      <xdr:col>12</xdr:col>
      <xdr:colOff>85726</xdr:colOff>
      <xdr:row>19</xdr:row>
      <xdr:rowOff>47624</xdr:rowOff>
    </xdr:to>
    <xdr:cxnSp macro="">
      <xdr:nvCxnSpPr>
        <xdr:cNvPr id="59" name="Straight Connector 58"/>
        <xdr:cNvCxnSpPr/>
      </xdr:nvCxnSpPr>
      <xdr:spPr>
        <a:xfrm rot="10800000" flipV="1">
          <a:off x="7362826" y="3629024"/>
          <a:ext cx="142875" cy="8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37</xdr:row>
      <xdr:rowOff>76199</xdr:rowOff>
    </xdr:from>
    <xdr:to>
      <xdr:col>10</xdr:col>
      <xdr:colOff>247649</xdr:colOff>
      <xdr:row>61</xdr:row>
      <xdr:rowOff>171450</xdr:rowOff>
    </xdr:to>
    <xdr:sp macro="" textlink="">
      <xdr:nvSpPr>
        <xdr:cNvPr id="2" name="Donut 1"/>
        <xdr:cNvSpPr/>
      </xdr:nvSpPr>
      <xdr:spPr>
        <a:xfrm>
          <a:off x="1524000" y="7191374"/>
          <a:ext cx="4933949" cy="4686301"/>
        </a:xfrm>
        <a:prstGeom prst="donut">
          <a:avLst>
            <a:gd name="adj" fmla="val 252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581025</xdr:colOff>
      <xdr:row>47</xdr:row>
      <xdr:rowOff>9525</xdr:rowOff>
    </xdr:from>
    <xdr:to>
      <xdr:col>7</xdr:col>
      <xdr:colOff>47625</xdr:colOff>
      <xdr:row>50</xdr:row>
      <xdr:rowOff>66675</xdr:rowOff>
    </xdr:to>
    <xdr:sp macro="" textlink="">
      <xdr:nvSpPr>
        <xdr:cNvPr id="3" name="Oval 2"/>
        <xdr:cNvSpPr/>
      </xdr:nvSpPr>
      <xdr:spPr>
        <a:xfrm>
          <a:off x="3629025" y="9039225"/>
          <a:ext cx="685800" cy="6286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581025</xdr:colOff>
      <xdr:row>48</xdr:row>
      <xdr:rowOff>133350</xdr:rowOff>
    </xdr:from>
    <xdr:to>
      <xdr:col>7</xdr:col>
      <xdr:colOff>47625</xdr:colOff>
      <xdr:row>48</xdr:row>
      <xdr:rowOff>134938</xdr:rowOff>
    </xdr:to>
    <xdr:cxnSp macro="">
      <xdr:nvCxnSpPr>
        <xdr:cNvPr id="4" name="Straight Arrow Connector 3"/>
        <xdr:cNvCxnSpPr>
          <a:stCxn id="3" idx="2"/>
          <a:endCxn id="3" idx="6"/>
        </xdr:cNvCxnSpPr>
      </xdr:nvCxnSpPr>
      <xdr:spPr>
        <a:xfrm rot="10800000" flipH="1">
          <a:off x="3629025" y="9353550"/>
          <a:ext cx="685800" cy="1588"/>
        </a:xfrm>
        <a:prstGeom prst="straightConnector1">
          <a:avLst/>
        </a:prstGeom>
        <a:ln w="1270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40</xdr:row>
      <xdr:rowOff>47625</xdr:rowOff>
    </xdr:from>
    <xdr:to>
      <xdr:col>8</xdr:col>
      <xdr:colOff>342900</xdr:colOff>
      <xdr:row>41</xdr:row>
      <xdr:rowOff>85725</xdr:rowOff>
    </xdr:to>
    <xdr:cxnSp macro="">
      <xdr:nvCxnSpPr>
        <xdr:cNvPr id="5" name="Straight Arrow Connector 4"/>
        <xdr:cNvCxnSpPr/>
      </xdr:nvCxnSpPr>
      <xdr:spPr>
        <a:xfrm rot="5400000" flipH="1" flipV="1">
          <a:off x="5019675" y="7772400"/>
          <a:ext cx="228600" cy="1714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428625</xdr:colOff>
      <xdr:row>38</xdr:row>
      <xdr:rowOff>66676</xdr:rowOff>
    </xdr:from>
    <xdr:to>
      <xdr:col>9</xdr:col>
      <xdr:colOff>0</xdr:colOff>
      <xdr:row>39</xdr:row>
      <xdr:rowOff>104776</xdr:rowOff>
    </xdr:to>
    <xdr:cxnSp macro="">
      <xdr:nvCxnSpPr>
        <xdr:cNvPr id="6" name="Straight Arrow Connector 5"/>
        <xdr:cNvCxnSpPr/>
      </xdr:nvCxnSpPr>
      <xdr:spPr>
        <a:xfrm rot="5400000">
          <a:off x="5305425" y="7372351"/>
          <a:ext cx="238125" cy="238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</xdr:row>
      <xdr:rowOff>1</xdr:rowOff>
    </xdr:from>
    <xdr:to>
      <xdr:col>11</xdr:col>
      <xdr:colOff>0</xdr:colOff>
      <xdr:row>4</xdr:row>
      <xdr:rowOff>19050</xdr:rowOff>
    </xdr:to>
    <xdr:cxnSp macro="">
      <xdr:nvCxnSpPr>
        <xdr:cNvPr id="7" name="Straight Connector 6"/>
        <xdr:cNvCxnSpPr/>
      </xdr:nvCxnSpPr>
      <xdr:spPr>
        <a:xfrm>
          <a:off x="1228725" y="809626"/>
          <a:ext cx="5581650" cy="19049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608806</xdr:colOff>
      <xdr:row>3</xdr:row>
      <xdr:rowOff>172244</xdr:rowOff>
    </xdr:from>
    <xdr:to>
      <xdr:col>2</xdr:col>
      <xdr:colOff>794</xdr:colOff>
      <xdr:row>4</xdr:row>
      <xdr:rowOff>172244</xdr:rowOff>
    </xdr:to>
    <xdr:cxnSp macro="">
      <xdr:nvCxnSpPr>
        <xdr:cNvPr id="8" name="Straight Connector 7"/>
        <xdr:cNvCxnSpPr/>
      </xdr:nvCxnSpPr>
      <xdr:spPr>
        <a:xfrm rot="5400000">
          <a:off x="1123950" y="885825"/>
          <a:ext cx="19050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0</xdr:rowOff>
    </xdr:from>
    <xdr:to>
      <xdr:col>11</xdr:col>
      <xdr:colOff>0</xdr:colOff>
      <xdr:row>5</xdr:row>
      <xdr:rowOff>9526</xdr:rowOff>
    </xdr:to>
    <xdr:cxnSp macro="">
      <xdr:nvCxnSpPr>
        <xdr:cNvPr id="9" name="Straight Connector 8"/>
        <xdr:cNvCxnSpPr/>
      </xdr:nvCxnSpPr>
      <xdr:spPr>
        <a:xfrm flipV="1">
          <a:off x="1219200" y="1000125"/>
          <a:ext cx="5591175" cy="952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608806</xdr:colOff>
      <xdr:row>4</xdr:row>
      <xdr:rowOff>794</xdr:rowOff>
    </xdr:from>
    <xdr:to>
      <xdr:col>11</xdr:col>
      <xdr:colOff>794</xdr:colOff>
      <xdr:row>5</xdr:row>
      <xdr:rowOff>19844</xdr:rowOff>
    </xdr:to>
    <xdr:cxnSp macro="">
      <xdr:nvCxnSpPr>
        <xdr:cNvPr id="10" name="Straight Connector 9"/>
        <xdr:cNvCxnSpPr/>
      </xdr:nvCxnSpPr>
      <xdr:spPr>
        <a:xfrm rot="5400000">
          <a:off x="6705600" y="914400"/>
          <a:ext cx="20955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332581</xdr:colOff>
      <xdr:row>5</xdr:row>
      <xdr:rowOff>29369</xdr:rowOff>
    </xdr:from>
    <xdr:to>
      <xdr:col>2</xdr:col>
      <xdr:colOff>334169</xdr:colOff>
      <xdr:row>18</xdr:row>
      <xdr:rowOff>10319</xdr:rowOff>
    </xdr:to>
    <xdr:cxnSp macro="">
      <xdr:nvCxnSpPr>
        <xdr:cNvPr id="11" name="Straight Connector 10"/>
        <xdr:cNvCxnSpPr/>
      </xdr:nvCxnSpPr>
      <xdr:spPr>
        <a:xfrm rot="5400000">
          <a:off x="323850" y="2257425"/>
          <a:ext cx="245745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313531</xdr:colOff>
      <xdr:row>5</xdr:row>
      <xdr:rowOff>10319</xdr:rowOff>
    </xdr:from>
    <xdr:to>
      <xdr:col>10</xdr:col>
      <xdr:colOff>315119</xdr:colOff>
      <xdr:row>18</xdr:row>
      <xdr:rowOff>10319</xdr:rowOff>
    </xdr:to>
    <xdr:cxnSp macro="">
      <xdr:nvCxnSpPr>
        <xdr:cNvPr id="12" name="Straight Connector 11"/>
        <xdr:cNvCxnSpPr/>
      </xdr:nvCxnSpPr>
      <xdr:spPr>
        <a:xfrm rot="5400000">
          <a:off x="5286375" y="2247900"/>
          <a:ext cx="2476500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180975</xdr:rowOff>
    </xdr:from>
    <xdr:to>
      <xdr:col>11</xdr:col>
      <xdr:colOff>9525</xdr:colOff>
      <xdr:row>18</xdr:row>
      <xdr:rowOff>0</xdr:rowOff>
    </xdr:to>
    <xdr:cxnSp macro="">
      <xdr:nvCxnSpPr>
        <xdr:cNvPr id="13" name="Straight Connector 12"/>
        <xdr:cNvCxnSpPr/>
      </xdr:nvCxnSpPr>
      <xdr:spPr>
        <a:xfrm flipV="1">
          <a:off x="1219200" y="3467100"/>
          <a:ext cx="5600700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17</xdr:row>
      <xdr:rowOff>180976</xdr:rowOff>
    </xdr:from>
    <xdr:to>
      <xdr:col>1</xdr:col>
      <xdr:colOff>600075</xdr:colOff>
      <xdr:row>19</xdr:row>
      <xdr:rowOff>28576</xdr:rowOff>
    </xdr:to>
    <xdr:cxnSp macro="">
      <xdr:nvCxnSpPr>
        <xdr:cNvPr id="14" name="Straight Connector 13"/>
        <xdr:cNvCxnSpPr/>
      </xdr:nvCxnSpPr>
      <xdr:spPr>
        <a:xfrm rot="5400000">
          <a:off x="1090613" y="3576638"/>
          <a:ext cx="228600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600075</xdr:colOff>
      <xdr:row>18</xdr:row>
      <xdr:rowOff>180975</xdr:rowOff>
    </xdr:from>
    <xdr:to>
      <xdr:col>11</xdr:col>
      <xdr:colOff>9525</xdr:colOff>
      <xdr:row>19</xdr:row>
      <xdr:rowOff>28575</xdr:rowOff>
    </xdr:to>
    <xdr:cxnSp macro="">
      <xdr:nvCxnSpPr>
        <xdr:cNvPr id="15" name="Straight Connector 14"/>
        <xdr:cNvCxnSpPr/>
      </xdr:nvCxnSpPr>
      <xdr:spPr>
        <a:xfrm flipV="1">
          <a:off x="1209675" y="3657600"/>
          <a:ext cx="5610225" cy="3810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599282</xdr:colOff>
      <xdr:row>17</xdr:row>
      <xdr:rowOff>172243</xdr:rowOff>
    </xdr:from>
    <xdr:to>
      <xdr:col>10</xdr:col>
      <xdr:colOff>600870</xdr:colOff>
      <xdr:row>18</xdr:row>
      <xdr:rowOff>162718</xdr:rowOff>
    </xdr:to>
    <xdr:cxnSp macro="">
      <xdr:nvCxnSpPr>
        <xdr:cNvPr id="16" name="Straight Connector 15"/>
        <xdr:cNvCxnSpPr/>
      </xdr:nvCxnSpPr>
      <xdr:spPr>
        <a:xfrm rot="5400000">
          <a:off x="6719888" y="3548062"/>
          <a:ext cx="180975" cy="1588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4</xdr:row>
      <xdr:rowOff>190499</xdr:rowOff>
    </xdr:from>
    <xdr:to>
      <xdr:col>6</xdr:col>
      <xdr:colOff>9525</xdr:colOff>
      <xdr:row>18</xdr:row>
      <xdr:rowOff>19053</xdr:rowOff>
    </xdr:to>
    <xdr:cxnSp macro="">
      <xdr:nvCxnSpPr>
        <xdr:cNvPr id="17" name="Straight Connector 16"/>
        <xdr:cNvCxnSpPr/>
      </xdr:nvCxnSpPr>
      <xdr:spPr>
        <a:xfrm rot="16200000" flipH="1">
          <a:off x="2414586" y="2243139"/>
          <a:ext cx="2495554" cy="9524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5</xdr:row>
      <xdr:rowOff>1</xdr:rowOff>
    </xdr:from>
    <xdr:to>
      <xdr:col>7</xdr:col>
      <xdr:colOff>0</xdr:colOff>
      <xdr:row>18</xdr:row>
      <xdr:rowOff>1</xdr:rowOff>
    </xdr:to>
    <xdr:cxnSp macro="">
      <xdr:nvCxnSpPr>
        <xdr:cNvPr id="18" name="Straight Connector 17"/>
        <xdr:cNvCxnSpPr/>
      </xdr:nvCxnSpPr>
      <xdr:spPr>
        <a:xfrm rot="5400000">
          <a:off x="3024188" y="2233613"/>
          <a:ext cx="2476500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599281</xdr:colOff>
      <xdr:row>5</xdr:row>
      <xdr:rowOff>19844</xdr:rowOff>
    </xdr:from>
    <xdr:to>
      <xdr:col>2</xdr:col>
      <xdr:colOff>600869</xdr:colOff>
      <xdr:row>6</xdr:row>
      <xdr:rowOff>794</xdr:rowOff>
    </xdr:to>
    <xdr:cxnSp macro="">
      <xdr:nvCxnSpPr>
        <xdr:cNvPr id="19" name="Straight Connector 18"/>
        <xdr:cNvCxnSpPr/>
      </xdr:nvCxnSpPr>
      <xdr:spPr>
        <a:xfrm rot="5400000">
          <a:off x="1733550" y="1104900"/>
          <a:ext cx="1714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8732</xdr:colOff>
      <xdr:row>5</xdr:row>
      <xdr:rowOff>10318</xdr:rowOff>
    </xdr:from>
    <xdr:to>
      <xdr:col>10</xdr:col>
      <xdr:colOff>10320</xdr:colOff>
      <xdr:row>6</xdr:row>
      <xdr:rowOff>793</xdr:rowOff>
    </xdr:to>
    <xdr:cxnSp macro="">
      <xdr:nvCxnSpPr>
        <xdr:cNvPr id="20" name="Straight Connector 19"/>
        <xdr:cNvCxnSpPr/>
      </xdr:nvCxnSpPr>
      <xdr:spPr>
        <a:xfrm rot="5400000">
          <a:off x="6129338" y="1100137"/>
          <a:ext cx="18097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6</xdr:row>
      <xdr:rowOff>0</xdr:rowOff>
    </xdr:from>
    <xdr:to>
      <xdr:col>6</xdr:col>
      <xdr:colOff>19050</xdr:colOff>
      <xdr:row>6</xdr:row>
      <xdr:rowOff>1588</xdr:rowOff>
    </xdr:to>
    <xdr:cxnSp macro="">
      <xdr:nvCxnSpPr>
        <xdr:cNvPr id="21" name="Straight Connector 20"/>
        <xdr:cNvCxnSpPr/>
      </xdr:nvCxnSpPr>
      <xdr:spPr>
        <a:xfrm>
          <a:off x="1819275" y="1190625"/>
          <a:ext cx="185737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6</xdr:row>
      <xdr:rowOff>0</xdr:rowOff>
    </xdr:from>
    <xdr:to>
      <xdr:col>10</xdr:col>
      <xdr:colOff>9525</xdr:colOff>
      <xdr:row>6</xdr:row>
      <xdr:rowOff>9525</xdr:rowOff>
    </xdr:to>
    <xdr:cxnSp macro="">
      <xdr:nvCxnSpPr>
        <xdr:cNvPr id="22" name="Straight Connector 21"/>
        <xdr:cNvCxnSpPr/>
      </xdr:nvCxnSpPr>
      <xdr:spPr>
        <a:xfrm>
          <a:off x="4276725" y="1190625"/>
          <a:ext cx="19431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599281</xdr:colOff>
      <xdr:row>16</xdr:row>
      <xdr:rowOff>181769</xdr:rowOff>
    </xdr:from>
    <xdr:to>
      <xdr:col>2</xdr:col>
      <xdr:colOff>600869</xdr:colOff>
      <xdr:row>17</xdr:row>
      <xdr:rowOff>181769</xdr:rowOff>
    </xdr:to>
    <xdr:cxnSp macro="">
      <xdr:nvCxnSpPr>
        <xdr:cNvPr id="23" name="Straight Connector 22"/>
        <xdr:cNvCxnSpPr/>
      </xdr:nvCxnSpPr>
      <xdr:spPr>
        <a:xfrm rot="5400000">
          <a:off x="1724025" y="3371850"/>
          <a:ext cx="1905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17</xdr:row>
      <xdr:rowOff>9525</xdr:rowOff>
    </xdr:from>
    <xdr:to>
      <xdr:col>6</xdr:col>
      <xdr:colOff>19050</xdr:colOff>
      <xdr:row>17</xdr:row>
      <xdr:rowOff>11113</xdr:rowOff>
    </xdr:to>
    <xdr:cxnSp macro="">
      <xdr:nvCxnSpPr>
        <xdr:cNvPr id="24" name="Straight Connector 23"/>
        <xdr:cNvCxnSpPr/>
      </xdr:nvCxnSpPr>
      <xdr:spPr>
        <a:xfrm>
          <a:off x="1809750" y="3295650"/>
          <a:ext cx="18669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17</xdr:row>
      <xdr:rowOff>0</xdr:rowOff>
    </xdr:from>
    <xdr:to>
      <xdr:col>10</xdr:col>
      <xdr:colOff>9525</xdr:colOff>
      <xdr:row>17</xdr:row>
      <xdr:rowOff>9525</xdr:rowOff>
    </xdr:to>
    <xdr:cxnSp macro="">
      <xdr:nvCxnSpPr>
        <xdr:cNvPr id="25" name="Straight Connector 24"/>
        <xdr:cNvCxnSpPr/>
      </xdr:nvCxnSpPr>
      <xdr:spPr>
        <a:xfrm flipV="1">
          <a:off x="4257675" y="3286125"/>
          <a:ext cx="19621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794</xdr:colOff>
      <xdr:row>17</xdr:row>
      <xdr:rowOff>794</xdr:rowOff>
    </xdr:from>
    <xdr:to>
      <xdr:col>10</xdr:col>
      <xdr:colOff>22860</xdr:colOff>
      <xdr:row>18</xdr:row>
      <xdr:rowOff>0</xdr:rowOff>
    </xdr:to>
    <xdr:cxnSp macro="">
      <xdr:nvCxnSpPr>
        <xdr:cNvPr id="26" name="Straight Connector 25"/>
        <xdr:cNvCxnSpPr/>
      </xdr:nvCxnSpPr>
      <xdr:spPr>
        <a:xfrm rot="16200000" flipH="1">
          <a:off x="6184424" y="3258344"/>
          <a:ext cx="182086" cy="22066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</xdr:row>
      <xdr:rowOff>0</xdr:rowOff>
    </xdr:from>
    <xdr:to>
      <xdr:col>6</xdr:col>
      <xdr:colOff>19050</xdr:colOff>
      <xdr:row>7</xdr:row>
      <xdr:rowOff>1588</xdr:rowOff>
    </xdr:to>
    <xdr:cxnSp macro="">
      <xdr:nvCxnSpPr>
        <xdr:cNvPr id="27" name="Straight Connector 26"/>
        <xdr:cNvCxnSpPr/>
      </xdr:nvCxnSpPr>
      <xdr:spPr>
        <a:xfrm>
          <a:off x="1838325" y="1381125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8</xdr:row>
      <xdr:rowOff>0</xdr:rowOff>
    </xdr:from>
    <xdr:to>
      <xdr:col>6</xdr:col>
      <xdr:colOff>0</xdr:colOff>
      <xdr:row>8</xdr:row>
      <xdr:rowOff>1588</xdr:rowOff>
    </xdr:to>
    <xdr:cxnSp macro="">
      <xdr:nvCxnSpPr>
        <xdr:cNvPr id="28" name="Straight Connector 27"/>
        <xdr:cNvCxnSpPr/>
      </xdr:nvCxnSpPr>
      <xdr:spPr>
        <a:xfrm>
          <a:off x="1819275" y="1571625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</xdr:row>
      <xdr:rowOff>0</xdr:rowOff>
    </xdr:from>
    <xdr:to>
      <xdr:col>6</xdr:col>
      <xdr:colOff>9525</xdr:colOff>
      <xdr:row>9</xdr:row>
      <xdr:rowOff>1588</xdr:rowOff>
    </xdr:to>
    <xdr:cxnSp macro="">
      <xdr:nvCxnSpPr>
        <xdr:cNvPr id="29" name="Straight Connector 28"/>
        <xdr:cNvCxnSpPr/>
      </xdr:nvCxnSpPr>
      <xdr:spPr>
        <a:xfrm>
          <a:off x="1828800" y="1762125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10</xdr:row>
      <xdr:rowOff>0</xdr:rowOff>
    </xdr:from>
    <xdr:to>
      <xdr:col>6</xdr:col>
      <xdr:colOff>0</xdr:colOff>
      <xdr:row>10</xdr:row>
      <xdr:rowOff>1588</xdr:rowOff>
    </xdr:to>
    <xdr:cxnSp macro="">
      <xdr:nvCxnSpPr>
        <xdr:cNvPr id="30" name="Straight Connector 29"/>
        <xdr:cNvCxnSpPr/>
      </xdr:nvCxnSpPr>
      <xdr:spPr>
        <a:xfrm>
          <a:off x="1828800" y="1952625"/>
          <a:ext cx="18288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11</xdr:row>
      <xdr:rowOff>0</xdr:rowOff>
    </xdr:from>
    <xdr:to>
      <xdr:col>5</xdr:col>
      <xdr:colOff>600075</xdr:colOff>
      <xdr:row>11</xdr:row>
      <xdr:rowOff>9525</xdr:rowOff>
    </xdr:to>
    <xdr:cxnSp macro="">
      <xdr:nvCxnSpPr>
        <xdr:cNvPr id="31" name="Straight Connector 30"/>
        <xdr:cNvCxnSpPr/>
      </xdr:nvCxnSpPr>
      <xdr:spPr>
        <a:xfrm>
          <a:off x="1819275" y="2143125"/>
          <a:ext cx="18288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0</xdr:rowOff>
    </xdr:from>
    <xdr:to>
      <xdr:col>6</xdr:col>
      <xdr:colOff>0</xdr:colOff>
      <xdr:row>16</xdr:row>
      <xdr:rowOff>19050</xdr:rowOff>
    </xdr:to>
    <xdr:cxnSp macro="">
      <xdr:nvCxnSpPr>
        <xdr:cNvPr id="32" name="Straight Connector 31"/>
        <xdr:cNvCxnSpPr/>
      </xdr:nvCxnSpPr>
      <xdr:spPr>
        <a:xfrm>
          <a:off x="1828800" y="3095625"/>
          <a:ext cx="1828800" cy="1905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14</xdr:row>
      <xdr:rowOff>180975</xdr:rowOff>
    </xdr:from>
    <xdr:to>
      <xdr:col>6</xdr:col>
      <xdr:colOff>0</xdr:colOff>
      <xdr:row>14</xdr:row>
      <xdr:rowOff>182563</xdr:rowOff>
    </xdr:to>
    <xdr:cxnSp macro="">
      <xdr:nvCxnSpPr>
        <xdr:cNvPr id="33" name="Straight Connector 32"/>
        <xdr:cNvCxnSpPr/>
      </xdr:nvCxnSpPr>
      <xdr:spPr>
        <a:xfrm>
          <a:off x="1828800" y="2895600"/>
          <a:ext cx="182880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600075</xdr:colOff>
      <xdr:row>14</xdr:row>
      <xdr:rowOff>0</xdr:rowOff>
    </xdr:from>
    <xdr:to>
      <xdr:col>6</xdr:col>
      <xdr:colOff>9525</xdr:colOff>
      <xdr:row>14</xdr:row>
      <xdr:rowOff>9525</xdr:rowOff>
    </xdr:to>
    <xdr:cxnSp macro="">
      <xdr:nvCxnSpPr>
        <xdr:cNvPr id="34" name="Straight Connector 33"/>
        <xdr:cNvCxnSpPr/>
      </xdr:nvCxnSpPr>
      <xdr:spPr>
        <a:xfrm>
          <a:off x="1819275" y="2714625"/>
          <a:ext cx="18478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13</xdr:row>
      <xdr:rowOff>9525</xdr:rowOff>
    </xdr:from>
    <xdr:to>
      <xdr:col>6</xdr:col>
      <xdr:colOff>9525</xdr:colOff>
      <xdr:row>13</xdr:row>
      <xdr:rowOff>11113</xdr:rowOff>
    </xdr:to>
    <xdr:cxnSp macro="">
      <xdr:nvCxnSpPr>
        <xdr:cNvPr id="35" name="Straight Connector 34"/>
        <xdr:cNvCxnSpPr/>
      </xdr:nvCxnSpPr>
      <xdr:spPr>
        <a:xfrm>
          <a:off x="1828800" y="2533650"/>
          <a:ext cx="18383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11</xdr:row>
      <xdr:rowOff>180975</xdr:rowOff>
    </xdr:from>
    <xdr:to>
      <xdr:col>6</xdr:col>
      <xdr:colOff>0</xdr:colOff>
      <xdr:row>12</xdr:row>
      <xdr:rowOff>0</xdr:rowOff>
    </xdr:to>
    <xdr:cxnSp macro="">
      <xdr:nvCxnSpPr>
        <xdr:cNvPr id="36" name="Straight Connector 35"/>
        <xdr:cNvCxnSpPr/>
      </xdr:nvCxnSpPr>
      <xdr:spPr>
        <a:xfrm flipV="1">
          <a:off x="1828800" y="2324100"/>
          <a:ext cx="18288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7</xdr:row>
      <xdr:rowOff>0</xdr:rowOff>
    </xdr:from>
    <xdr:to>
      <xdr:col>10</xdr:col>
      <xdr:colOff>0</xdr:colOff>
      <xdr:row>7</xdr:row>
      <xdr:rowOff>9525</xdr:rowOff>
    </xdr:to>
    <xdr:cxnSp macro="">
      <xdr:nvCxnSpPr>
        <xdr:cNvPr id="37" name="Straight Connector 36"/>
        <xdr:cNvCxnSpPr/>
      </xdr:nvCxnSpPr>
      <xdr:spPr>
        <a:xfrm>
          <a:off x="4276725" y="1381125"/>
          <a:ext cx="193357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7</xdr:row>
      <xdr:rowOff>180974</xdr:rowOff>
    </xdr:from>
    <xdr:to>
      <xdr:col>10</xdr:col>
      <xdr:colOff>9525</xdr:colOff>
      <xdr:row>7</xdr:row>
      <xdr:rowOff>190499</xdr:rowOff>
    </xdr:to>
    <xdr:cxnSp macro="">
      <xdr:nvCxnSpPr>
        <xdr:cNvPr id="38" name="Straight Connector 37"/>
        <xdr:cNvCxnSpPr/>
      </xdr:nvCxnSpPr>
      <xdr:spPr>
        <a:xfrm rot="10800000" flipV="1">
          <a:off x="4257675" y="1562099"/>
          <a:ext cx="196215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9</xdr:row>
      <xdr:rowOff>0</xdr:rowOff>
    </xdr:from>
    <xdr:to>
      <xdr:col>10</xdr:col>
      <xdr:colOff>9525</xdr:colOff>
      <xdr:row>9</xdr:row>
      <xdr:rowOff>1588</xdr:rowOff>
    </xdr:to>
    <xdr:cxnSp macro="">
      <xdr:nvCxnSpPr>
        <xdr:cNvPr id="39" name="Straight Connector 38"/>
        <xdr:cNvCxnSpPr/>
      </xdr:nvCxnSpPr>
      <xdr:spPr>
        <a:xfrm>
          <a:off x="4267200" y="1762125"/>
          <a:ext cx="19526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9</xdr:row>
      <xdr:rowOff>180975</xdr:rowOff>
    </xdr:from>
    <xdr:to>
      <xdr:col>10</xdr:col>
      <xdr:colOff>0</xdr:colOff>
      <xdr:row>10</xdr:row>
      <xdr:rowOff>0</xdr:rowOff>
    </xdr:to>
    <xdr:cxnSp macro="">
      <xdr:nvCxnSpPr>
        <xdr:cNvPr id="40" name="Straight Connector 39"/>
        <xdr:cNvCxnSpPr/>
      </xdr:nvCxnSpPr>
      <xdr:spPr>
        <a:xfrm flipV="1">
          <a:off x="4257675" y="1943100"/>
          <a:ext cx="195262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11</xdr:row>
      <xdr:rowOff>9525</xdr:rowOff>
    </xdr:from>
    <xdr:to>
      <xdr:col>10</xdr:col>
      <xdr:colOff>9525</xdr:colOff>
      <xdr:row>11</xdr:row>
      <xdr:rowOff>11113</xdr:rowOff>
    </xdr:to>
    <xdr:cxnSp macro="">
      <xdr:nvCxnSpPr>
        <xdr:cNvPr id="41" name="Straight Connector 40"/>
        <xdr:cNvCxnSpPr/>
      </xdr:nvCxnSpPr>
      <xdr:spPr>
        <a:xfrm>
          <a:off x="4267200" y="2152650"/>
          <a:ext cx="19526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12</xdr:row>
      <xdr:rowOff>0</xdr:rowOff>
    </xdr:from>
    <xdr:to>
      <xdr:col>10</xdr:col>
      <xdr:colOff>0</xdr:colOff>
      <xdr:row>12</xdr:row>
      <xdr:rowOff>9525</xdr:rowOff>
    </xdr:to>
    <xdr:cxnSp macro="">
      <xdr:nvCxnSpPr>
        <xdr:cNvPr id="42" name="Straight Connector 41"/>
        <xdr:cNvCxnSpPr/>
      </xdr:nvCxnSpPr>
      <xdr:spPr>
        <a:xfrm>
          <a:off x="4267200" y="2333625"/>
          <a:ext cx="1943100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13</xdr:row>
      <xdr:rowOff>0</xdr:rowOff>
    </xdr:from>
    <xdr:to>
      <xdr:col>10</xdr:col>
      <xdr:colOff>19050</xdr:colOff>
      <xdr:row>13</xdr:row>
      <xdr:rowOff>1588</xdr:rowOff>
    </xdr:to>
    <xdr:cxnSp macro="">
      <xdr:nvCxnSpPr>
        <xdr:cNvPr id="43" name="Straight Connector 42"/>
        <xdr:cNvCxnSpPr/>
      </xdr:nvCxnSpPr>
      <xdr:spPr>
        <a:xfrm>
          <a:off x="4267200" y="2524125"/>
          <a:ext cx="1962150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600075</xdr:colOff>
      <xdr:row>14</xdr:row>
      <xdr:rowOff>0</xdr:rowOff>
    </xdr:from>
    <xdr:to>
      <xdr:col>10</xdr:col>
      <xdr:colOff>0</xdr:colOff>
      <xdr:row>14</xdr:row>
      <xdr:rowOff>1588</xdr:rowOff>
    </xdr:to>
    <xdr:cxnSp macro="">
      <xdr:nvCxnSpPr>
        <xdr:cNvPr id="44" name="Straight Connector 43"/>
        <xdr:cNvCxnSpPr/>
      </xdr:nvCxnSpPr>
      <xdr:spPr>
        <a:xfrm>
          <a:off x="4257675" y="2714625"/>
          <a:ext cx="195262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590550</xdr:colOff>
      <xdr:row>14</xdr:row>
      <xdr:rowOff>180975</xdr:rowOff>
    </xdr:from>
    <xdr:to>
      <xdr:col>10</xdr:col>
      <xdr:colOff>9525</xdr:colOff>
      <xdr:row>15</xdr:row>
      <xdr:rowOff>0</xdr:rowOff>
    </xdr:to>
    <xdr:cxnSp macro="">
      <xdr:nvCxnSpPr>
        <xdr:cNvPr id="45" name="Straight Connector 44"/>
        <xdr:cNvCxnSpPr/>
      </xdr:nvCxnSpPr>
      <xdr:spPr>
        <a:xfrm flipV="1">
          <a:off x="4248150" y="2895600"/>
          <a:ext cx="1971675" cy="9525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581025</xdr:colOff>
      <xdr:row>16</xdr:row>
      <xdr:rowOff>9525</xdr:rowOff>
    </xdr:from>
    <xdr:to>
      <xdr:col>10</xdr:col>
      <xdr:colOff>0</xdr:colOff>
      <xdr:row>16</xdr:row>
      <xdr:rowOff>11113</xdr:rowOff>
    </xdr:to>
    <xdr:cxnSp macro="">
      <xdr:nvCxnSpPr>
        <xdr:cNvPr id="46" name="Straight Connector 45"/>
        <xdr:cNvCxnSpPr/>
      </xdr:nvCxnSpPr>
      <xdr:spPr>
        <a:xfrm>
          <a:off x="4238625" y="3105150"/>
          <a:ext cx="1971675" cy="1588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304800</xdr:colOff>
      <xdr:row>21</xdr:row>
      <xdr:rowOff>0</xdr:rowOff>
    </xdr:from>
    <xdr:to>
      <xdr:col>10</xdr:col>
      <xdr:colOff>342900</xdr:colOff>
      <xdr:row>21</xdr:row>
      <xdr:rowOff>9525</xdr:rowOff>
    </xdr:to>
    <xdr:cxnSp macro="">
      <xdr:nvCxnSpPr>
        <xdr:cNvPr id="47" name="Straight Arrow Connector 46"/>
        <xdr:cNvCxnSpPr/>
      </xdr:nvCxnSpPr>
      <xdr:spPr>
        <a:xfrm flipV="1">
          <a:off x="1524000" y="4048125"/>
          <a:ext cx="5029200" cy="9525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63</xdr:row>
      <xdr:rowOff>0</xdr:rowOff>
    </xdr:from>
    <xdr:to>
      <xdr:col>10</xdr:col>
      <xdr:colOff>333375</xdr:colOff>
      <xdr:row>63</xdr:row>
      <xdr:rowOff>1588</xdr:rowOff>
    </xdr:to>
    <xdr:cxnSp macro="">
      <xdr:nvCxnSpPr>
        <xdr:cNvPr id="48" name="Straight Arrow Connector 47"/>
        <xdr:cNvCxnSpPr/>
      </xdr:nvCxnSpPr>
      <xdr:spPr>
        <a:xfrm>
          <a:off x="1504950" y="12087225"/>
          <a:ext cx="5038725" cy="1588"/>
        </a:xfrm>
        <a:prstGeom prst="straightConnector1">
          <a:avLst/>
        </a:prstGeom>
        <a:ln w="19050">
          <a:solidFill>
            <a:sysClr val="windowText" lastClr="00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608806</xdr:colOff>
      <xdr:row>2</xdr:row>
      <xdr:rowOff>172244</xdr:rowOff>
    </xdr:from>
    <xdr:to>
      <xdr:col>12</xdr:col>
      <xdr:colOff>794</xdr:colOff>
      <xdr:row>6</xdr:row>
      <xdr:rowOff>57944</xdr:rowOff>
    </xdr:to>
    <xdr:cxnSp macro="">
      <xdr:nvCxnSpPr>
        <xdr:cNvPr id="49" name="Straight Connector 48"/>
        <xdr:cNvCxnSpPr/>
      </xdr:nvCxnSpPr>
      <xdr:spPr>
        <a:xfrm rot="5400000">
          <a:off x="7096125" y="923925"/>
          <a:ext cx="6477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504825</xdr:colOff>
      <xdr:row>3</xdr:row>
      <xdr:rowOff>152399</xdr:rowOff>
    </xdr:from>
    <xdr:to>
      <xdr:col>12</xdr:col>
      <xdr:colOff>104775</xdr:colOff>
      <xdr:row>4</xdr:row>
      <xdr:rowOff>28574</xdr:rowOff>
    </xdr:to>
    <xdr:cxnSp macro="">
      <xdr:nvCxnSpPr>
        <xdr:cNvPr id="50" name="Straight Connector 49"/>
        <xdr:cNvCxnSpPr/>
      </xdr:nvCxnSpPr>
      <xdr:spPr>
        <a:xfrm rot="10800000" flipV="1">
          <a:off x="7315200" y="771524"/>
          <a:ext cx="209550" cy="666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552451</xdr:colOff>
      <xdr:row>5</xdr:row>
      <xdr:rowOff>142874</xdr:rowOff>
    </xdr:from>
    <xdr:to>
      <xdr:col>12</xdr:col>
      <xdr:colOff>66676</xdr:colOff>
      <xdr:row>6</xdr:row>
      <xdr:rowOff>57149</xdr:rowOff>
    </xdr:to>
    <xdr:cxnSp macro="">
      <xdr:nvCxnSpPr>
        <xdr:cNvPr id="51" name="Straight Connector 50"/>
        <xdr:cNvCxnSpPr/>
      </xdr:nvCxnSpPr>
      <xdr:spPr>
        <a:xfrm rot="10800000" flipV="1">
          <a:off x="7362826" y="1142999"/>
          <a:ext cx="123825" cy="1047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571500</xdr:colOff>
      <xdr:row>4</xdr:row>
      <xdr:rowOff>161924</xdr:rowOff>
    </xdr:from>
    <xdr:to>
      <xdr:col>12</xdr:col>
      <xdr:colOff>76200</xdr:colOff>
      <xdr:row>5</xdr:row>
      <xdr:rowOff>38099</xdr:rowOff>
    </xdr:to>
    <xdr:cxnSp macro="">
      <xdr:nvCxnSpPr>
        <xdr:cNvPr id="52" name="Straight Connector 51"/>
        <xdr:cNvCxnSpPr/>
      </xdr:nvCxnSpPr>
      <xdr:spPr>
        <a:xfrm rot="10800000" flipV="1">
          <a:off x="7381875" y="971549"/>
          <a:ext cx="114300" cy="666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599282</xdr:colOff>
      <xdr:row>7</xdr:row>
      <xdr:rowOff>143668</xdr:rowOff>
    </xdr:from>
    <xdr:to>
      <xdr:col>11</xdr:col>
      <xdr:colOff>600870</xdr:colOff>
      <xdr:row>9</xdr:row>
      <xdr:rowOff>134143</xdr:rowOff>
    </xdr:to>
    <xdr:cxnSp macro="">
      <xdr:nvCxnSpPr>
        <xdr:cNvPr id="53" name="Straight Connector 52"/>
        <xdr:cNvCxnSpPr/>
      </xdr:nvCxnSpPr>
      <xdr:spPr>
        <a:xfrm rot="5400000">
          <a:off x="7224713" y="1709737"/>
          <a:ext cx="3714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552450</xdr:colOff>
      <xdr:row>7</xdr:row>
      <xdr:rowOff>114300</xdr:rowOff>
    </xdr:from>
    <xdr:to>
      <xdr:col>12</xdr:col>
      <xdr:colOff>95250</xdr:colOff>
      <xdr:row>8</xdr:row>
      <xdr:rowOff>0</xdr:rowOff>
    </xdr:to>
    <xdr:cxnSp macro="">
      <xdr:nvCxnSpPr>
        <xdr:cNvPr id="54" name="Straight Connector 53"/>
        <xdr:cNvCxnSpPr/>
      </xdr:nvCxnSpPr>
      <xdr:spPr>
        <a:xfrm rot="10800000" flipV="1">
          <a:off x="7362825" y="1495425"/>
          <a:ext cx="152400" cy="762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552451</xdr:colOff>
      <xdr:row>8</xdr:row>
      <xdr:rowOff>123824</xdr:rowOff>
    </xdr:from>
    <xdr:to>
      <xdr:col>12</xdr:col>
      <xdr:colOff>123826</xdr:colOff>
      <xdr:row>9</xdr:row>
      <xdr:rowOff>19049</xdr:rowOff>
    </xdr:to>
    <xdr:cxnSp macro="">
      <xdr:nvCxnSpPr>
        <xdr:cNvPr id="55" name="Straight Connector 54"/>
        <xdr:cNvCxnSpPr/>
      </xdr:nvCxnSpPr>
      <xdr:spPr>
        <a:xfrm rot="10800000" flipV="1">
          <a:off x="7362826" y="1695449"/>
          <a:ext cx="180975" cy="857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495300</xdr:colOff>
      <xdr:row>17</xdr:row>
      <xdr:rowOff>180975</xdr:rowOff>
    </xdr:from>
    <xdr:to>
      <xdr:col>12</xdr:col>
      <xdr:colOff>133350</xdr:colOff>
      <xdr:row>17</xdr:row>
      <xdr:rowOff>182563</xdr:rowOff>
    </xdr:to>
    <xdr:cxnSp macro="">
      <xdr:nvCxnSpPr>
        <xdr:cNvPr id="56" name="Straight Connector 55"/>
        <xdr:cNvCxnSpPr/>
      </xdr:nvCxnSpPr>
      <xdr:spPr>
        <a:xfrm>
          <a:off x="7305675" y="3467100"/>
          <a:ext cx="2476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428625</xdr:colOff>
      <xdr:row>19</xdr:row>
      <xdr:rowOff>0</xdr:rowOff>
    </xdr:from>
    <xdr:to>
      <xdr:col>12</xdr:col>
      <xdr:colOff>247650</xdr:colOff>
      <xdr:row>19</xdr:row>
      <xdr:rowOff>9525</xdr:rowOff>
    </xdr:to>
    <xdr:cxnSp macro="">
      <xdr:nvCxnSpPr>
        <xdr:cNvPr id="57" name="Straight Connector 56"/>
        <xdr:cNvCxnSpPr/>
      </xdr:nvCxnSpPr>
      <xdr:spPr>
        <a:xfrm flipV="1">
          <a:off x="7239000" y="3667125"/>
          <a:ext cx="4286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561976</xdr:colOff>
      <xdr:row>17</xdr:row>
      <xdr:rowOff>85725</xdr:rowOff>
    </xdr:from>
    <xdr:to>
      <xdr:col>12</xdr:col>
      <xdr:colOff>57151</xdr:colOff>
      <xdr:row>18</xdr:row>
      <xdr:rowOff>38100</xdr:rowOff>
    </xdr:to>
    <xdr:cxnSp macro="">
      <xdr:nvCxnSpPr>
        <xdr:cNvPr id="58" name="Straight Connector 57"/>
        <xdr:cNvCxnSpPr/>
      </xdr:nvCxnSpPr>
      <xdr:spPr>
        <a:xfrm rot="5400000">
          <a:off x="7353301" y="3390900"/>
          <a:ext cx="142875" cy="1047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552451</xdr:colOff>
      <xdr:row>18</xdr:row>
      <xdr:rowOff>152399</xdr:rowOff>
    </xdr:from>
    <xdr:to>
      <xdr:col>12</xdr:col>
      <xdr:colOff>85726</xdr:colOff>
      <xdr:row>19</xdr:row>
      <xdr:rowOff>47624</xdr:rowOff>
    </xdr:to>
    <xdr:cxnSp macro="">
      <xdr:nvCxnSpPr>
        <xdr:cNvPr id="59" name="Straight Connector 58"/>
        <xdr:cNvCxnSpPr/>
      </xdr:nvCxnSpPr>
      <xdr:spPr>
        <a:xfrm rot="10800000" flipV="1">
          <a:off x="7362826" y="3629024"/>
          <a:ext cx="142875" cy="85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74"/>
  <sheetViews>
    <sheetView topLeftCell="A172" workbookViewId="0">
      <selection activeCell="M181" sqref="M181:N194"/>
    </sheetView>
  </sheetViews>
  <sheetFormatPr defaultRowHeight="14.4"/>
  <cols>
    <col min="6" max="6" width="9.109375" customWidth="1"/>
    <col min="9" max="10" width="10" customWidth="1"/>
    <col min="11" max="11" width="9" customWidth="1"/>
  </cols>
  <sheetData>
    <row r="1" spans="1:14" ht="17.399999999999999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>
      <c r="A2" s="7"/>
      <c r="B2" s="7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5.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3" t="s">
        <v>257</v>
      </c>
      <c r="N5" s="12"/>
    </row>
    <row r="6" spans="1:14" ht="15.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23" t="s">
        <v>258</v>
      </c>
      <c r="N6" s="12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3" t="s">
        <v>106</v>
      </c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5.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23" t="s">
        <v>209</v>
      </c>
      <c r="N19" s="12"/>
    </row>
    <row r="20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5.6">
      <c r="A22" s="12"/>
      <c r="B22" s="12"/>
      <c r="C22" s="12"/>
      <c r="D22" s="12"/>
      <c r="E22" s="12"/>
      <c r="F22" s="43" t="s">
        <v>266</v>
      </c>
      <c r="G22" s="43"/>
      <c r="H22" s="43"/>
      <c r="I22" s="12"/>
      <c r="J22" s="12"/>
      <c r="K22" s="12"/>
      <c r="L22" s="12"/>
      <c r="M22" s="12"/>
      <c r="N22" s="12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5.6">
      <c r="A25" s="7"/>
      <c r="B25" s="7"/>
      <c r="C25" s="7"/>
      <c r="D25" s="55" t="s">
        <v>259</v>
      </c>
      <c r="E25" s="55"/>
      <c r="F25" s="55"/>
      <c r="G25" s="55"/>
      <c r="H25" s="55"/>
      <c r="I25" s="55"/>
      <c r="J25" s="55"/>
      <c r="K25" s="7"/>
      <c r="L25" s="7"/>
      <c r="M25" s="7"/>
      <c r="N25" s="7"/>
    </row>
    <row r="26" spans="1:1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>
      <c r="A38" s="7"/>
      <c r="B38" s="7"/>
      <c r="C38" s="12"/>
      <c r="D38" s="12"/>
      <c r="E38" s="12"/>
      <c r="F38" s="12"/>
      <c r="G38" s="12"/>
      <c r="H38" s="12"/>
      <c r="I38" s="12"/>
      <c r="J38" s="12"/>
      <c r="K38" s="12"/>
      <c r="L38" s="7"/>
      <c r="M38" s="7"/>
      <c r="N38" s="7"/>
    </row>
    <row r="39" spans="1:14" ht="15.6">
      <c r="A39" s="7"/>
      <c r="B39" s="7"/>
      <c r="C39" s="12"/>
      <c r="D39" s="12"/>
      <c r="E39" s="12"/>
      <c r="F39" s="12"/>
      <c r="G39" s="12"/>
      <c r="H39" s="12"/>
      <c r="I39" s="12"/>
      <c r="J39" s="29" t="s">
        <v>0</v>
      </c>
      <c r="K39" s="12"/>
      <c r="L39" s="7"/>
      <c r="M39" s="7"/>
      <c r="N39" s="7"/>
    </row>
    <row r="40" spans="1:14">
      <c r="A40" s="7"/>
      <c r="B40" s="7"/>
      <c r="C40" s="12"/>
      <c r="D40" s="12"/>
      <c r="E40" s="12"/>
      <c r="F40" s="12"/>
      <c r="G40" s="12"/>
      <c r="H40" s="12"/>
      <c r="I40" s="12"/>
      <c r="J40" s="12"/>
      <c r="K40" s="12"/>
      <c r="L40" s="7"/>
      <c r="M40" s="7"/>
      <c r="N40" s="7"/>
    </row>
    <row r="41" spans="1:14">
      <c r="A41" s="7"/>
      <c r="B41" s="7"/>
      <c r="C41" s="12"/>
      <c r="D41" s="12"/>
      <c r="E41" s="12"/>
      <c r="F41" s="12"/>
      <c r="G41" s="12"/>
      <c r="H41" s="12"/>
      <c r="I41" s="12"/>
      <c r="J41" s="12"/>
      <c r="K41" s="12"/>
      <c r="L41" s="7"/>
      <c r="M41" s="7"/>
      <c r="N41" s="7"/>
    </row>
    <row r="42" spans="1:14">
      <c r="A42" s="7"/>
      <c r="B42" s="7"/>
      <c r="C42" s="12"/>
      <c r="D42" s="12"/>
      <c r="E42" s="12"/>
      <c r="F42" s="12"/>
      <c r="G42" s="12"/>
      <c r="H42" s="12"/>
      <c r="I42" s="12"/>
      <c r="J42" s="12"/>
      <c r="K42" s="12"/>
      <c r="L42" s="7"/>
      <c r="M42" s="7"/>
      <c r="N42" s="7"/>
    </row>
    <row r="43" spans="1:14">
      <c r="A43" s="7"/>
      <c r="B43" s="7"/>
      <c r="C43" s="12"/>
      <c r="D43" s="12"/>
      <c r="E43" s="12"/>
      <c r="F43" s="12"/>
      <c r="G43" s="12"/>
      <c r="H43" s="12"/>
      <c r="I43" s="12"/>
      <c r="J43" s="12"/>
      <c r="K43" s="12"/>
      <c r="L43" s="7"/>
      <c r="M43" s="7"/>
      <c r="N43" s="7"/>
    </row>
    <row r="44" spans="1:14">
      <c r="A44" s="7"/>
      <c r="B44" s="7"/>
      <c r="C44" s="12"/>
      <c r="D44" s="12"/>
      <c r="E44" s="12"/>
      <c r="F44" s="12"/>
      <c r="G44" s="12"/>
      <c r="H44" s="12"/>
      <c r="I44" s="12"/>
      <c r="J44" s="12"/>
      <c r="K44" s="12"/>
      <c r="L44" s="7"/>
      <c r="M44" s="7"/>
      <c r="N44" s="7"/>
    </row>
    <row r="45" spans="1:14">
      <c r="A45" s="7"/>
      <c r="B45" s="7"/>
      <c r="C45" s="12"/>
      <c r="D45" s="12"/>
      <c r="E45" s="12"/>
      <c r="F45" s="12"/>
      <c r="G45" s="12"/>
      <c r="H45" s="12"/>
      <c r="I45" s="12"/>
      <c r="J45" s="12"/>
      <c r="K45" s="12"/>
      <c r="L45" s="7"/>
      <c r="M45" s="7"/>
      <c r="N45" s="7"/>
    </row>
    <row r="46" spans="1:14">
      <c r="A46" s="7"/>
      <c r="B46" s="7"/>
      <c r="C46" s="12"/>
      <c r="D46" s="12"/>
      <c r="E46" s="12"/>
      <c r="F46" s="12"/>
      <c r="G46" s="12"/>
      <c r="H46" s="12"/>
      <c r="I46" s="12"/>
      <c r="J46" s="12"/>
      <c r="K46" s="12"/>
      <c r="L46" s="7"/>
      <c r="M46" s="7"/>
      <c r="N46" s="7"/>
    </row>
    <row r="47" spans="1:14">
      <c r="A47" s="7"/>
      <c r="B47" s="7"/>
      <c r="C47" s="12"/>
      <c r="D47" s="12"/>
      <c r="E47" s="12"/>
      <c r="F47" s="12"/>
      <c r="G47" s="12"/>
      <c r="H47" s="12"/>
      <c r="I47" s="12"/>
      <c r="J47" s="12"/>
      <c r="K47" s="12"/>
      <c r="L47" s="7"/>
      <c r="M47" s="7"/>
      <c r="N47" s="7"/>
    </row>
    <row r="48" spans="1:14">
      <c r="A48" s="7"/>
      <c r="B48" s="7"/>
      <c r="C48" s="12"/>
      <c r="D48" s="12"/>
      <c r="E48" s="12"/>
      <c r="F48" s="12"/>
      <c r="G48" s="12"/>
      <c r="H48" s="12"/>
      <c r="I48" s="12"/>
      <c r="J48" s="12"/>
      <c r="K48" s="12"/>
      <c r="L48" s="7"/>
      <c r="M48" s="7"/>
      <c r="N48" s="7"/>
    </row>
    <row r="49" spans="1:14">
      <c r="A49" s="7"/>
      <c r="B49" s="7"/>
      <c r="C49" s="12"/>
      <c r="D49" s="12"/>
      <c r="E49" s="12"/>
      <c r="F49" s="12"/>
      <c r="G49" s="12"/>
      <c r="H49" s="12"/>
      <c r="I49" s="12"/>
      <c r="J49" s="12"/>
      <c r="K49" s="12"/>
      <c r="L49" s="7"/>
      <c r="M49" s="7"/>
      <c r="N49" s="7"/>
    </row>
    <row r="50" spans="1:14">
      <c r="A50" s="7"/>
      <c r="B50" s="7"/>
      <c r="C50" s="12"/>
      <c r="D50" s="12"/>
      <c r="E50" s="12"/>
      <c r="F50" s="12"/>
      <c r="G50" s="12"/>
      <c r="H50" s="12"/>
      <c r="I50" s="12"/>
      <c r="J50" s="12"/>
      <c r="K50" s="12"/>
      <c r="L50" s="7"/>
      <c r="M50" s="7"/>
      <c r="N50" s="7"/>
    </row>
    <row r="51" spans="1:14">
      <c r="A51" s="7"/>
      <c r="B51" s="7"/>
      <c r="C51" s="12"/>
      <c r="D51" s="12"/>
      <c r="E51" s="12"/>
      <c r="F51" s="12"/>
      <c r="G51" s="12"/>
      <c r="H51" s="12"/>
      <c r="I51" s="12"/>
      <c r="J51" s="12"/>
      <c r="K51" s="12"/>
      <c r="L51" s="7"/>
      <c r="M51" s="7"/>
      <c r="N51" s="7"/>
    </row>
    <row r="52" spans="1:14" ht="15.6">
      <c r="A52" s="7"/>
      <c r="B52" s="7"/>
      <c r="C52" s="12"/>
      <c r="D52" s="12"/>
      <c r="E52" s="12"/>
      <c r="F52" s="12"/>
      <c r="G52" s="39" t="s">
        <v>1</v>
      </c>
      <c r="H52" s="12"/>
      <c r="I52" s="12"/>
      <c r="J52" s="12"/>
      <c r="K52" s="12"/>
      <c r="L52" s="7"/>
      <c r="M52" s="7"/>
      <c r="N52" s="7"/>
    </row>
    <row r="53" spans="1:14">
      <c r="A53" s="7"/>
      <c r="B53" s="7"/>
      <c r="C53" s="12"/>
      <c r="D53" s="12"/>
      <c r="E53" s="12"/>
      <c r="F53" s="12"/>
      <c r="G53" s="12"/>
      <c r="H53" s="12"/>
      <c r="I53" s="12"/>
      <c r="J53" s="12"/>
      <c r="K53" s="12"/>
      <c r="L53" s="7"/>
      <c r="M53" s="7"/>
      <c r="N53" s="7"/>
    </row>
    <row r="54" spans="1:14">
      <c r="A54" s="7"/>
      <c r="B54" s="7"/>
      <c r="C54" s="12"/>
      <c r="D54" s="12"/>
      <c r="E54" s="12"/>
      <c r="F54" s="12"/>
      <c r="G54" s="12"/>
      <c r="H54" s="12"/>
      <c r="I54" s="12"/>
      <c r="J54" s="12"/>
      <c r="K54" s="12"/>
      <c r="L54" s="7"/>
      <c r="M54" s="7"/>
      <c r="N54" s="7"/>
    </row>
    <row r="55" spans="1:14">
      <c r="A55" s="7"/>
      <c r="B55" s="7"/>
      <c r="C55" s="12"/>
      <c r="D55" s="12"/>
      <c r="E55" s="12"/>
      <c r="F55" s="12"/>
      <c r="G55" s="12"/>
      <c r="H55" s="12"/>
      <c r="I55" s="12"/>
      <c r="J55" s="12"/>
      <c r="K55" s="12"/>
      <c r="L55" s="7"/>
      <c r="M55" s="7"/>
      <c r="N55" s="7"/>
    </row>
    <row r="56" spans="1:14">
      <c r="A56" s="7"/>
      <c r="B56" s="7"/>
      <c r="C56" s="12"/>
      <c r="D56" s="12"/>
      <c r="E56" s="12"/>
      <c r="F56" s="12"/>
      <c r="G56" s="12"/>
      <c r="H56" s="12"/>
      <c r="I56" s="12"/>
      <c r="J56" s="12"/>
      <c r="K56" s="12"/>
      <c r="L56" s="7"/>
      <c r="M56" s="7"/>
      <c r="N56" s="7"/>
    </row>
    <row r="57" spans="1:14">
      <c r="A57" s="7"/>
      <c r="B57" s="7"/>
      <c r="C57" s="12"/>
      <c r="D57" s="12"/>
      <c r="E57" s="12"/>
      <c r="F57" s="12"/>
      <c r="G57" s="12"/>
      <c r="H57" s="12"/>
      <c r="I57" s="12"/>
      <c r="J57" s="12"/>
      <c r="K57" s="12"/>
      <c r="L57" s="7"/>
      <c r="M57" s="7"/>
      <c r="N57" s="7"/>
    </row>
    <row r="58" spans="1:14">
      <c r="A58" s="7"/>
      <c r="B58" s="7"/>
      <c r="C58" s="12"/>
      <c r="D58" s="12"/>
      <c r="E58" s="12"/>
      <c r="F58" s="12"/>
      <c r="G58" s="12"/>
      <c r="H58" s="12"/>
      <c r="I58" s="12"/>
      <c r="J58" s="12"/>
      <c r="K58" s="12"/>
      <c r="L58" s="7"/>
      <c r="M58" s="7"/>
      <c r="N58" s="7"/>
    </row>
    <row r="59" spans="1:14">
      <c r="A59" s="7"/>
      <c r="B59" s="7"/>
      <c r="C59" s="12"/>
      <c r="D59" s="12"/>
      <c r="E59" s="12"/>
      <c r="F59" s="12"/>
      <c r="G59" s="12"/>
      <c r="H59" s="12"/>
      <c r="I59" s="12"/>
      <c r="J59" s="12"/>
      <c r="K59" s="12"/>
      <c r="L59" s="7"/>
      <c r="M59" s="7"/>
      <c r="N59" s="7"/>
    </row>
    <row r="60" spans="1:14">
      <c r="A60" s="7"/>
      <c r="B60" s="7"/>
      <c r="C60" s="12"/>
      <c r="D60" s="12"/>
      <c r="E60" s="12"/>
      <c r="F60" s="12"/>
      <c r="G60" s="12"/>
      <c r="H60" s="12"/>
      <c r="I60" s="12"/>
      <c r="J60" s="12"/>
      <c r="K60" s="12"/>
      <c r="L60" s="7"/>
      <c r="M60" s="7"/>
      <c r="N60" s="7"/>
    </row>
    <row r="61" spans="1:14">
      <c r="A61" s="7"/>
      <c r="B61" s="7"/>
      <c r="C61" s="12"/>
      <c r="D61" s="12"/>
      <c r="E61" s="12"/>
      <c r="F61" s="12"/>
      <c r="G61" s="12"/>
      <c r="H61" s="12"/>
      <c r="I61" s="12"/>
      <c r="J61" s="12"/>
      <c r="K61" s="12"/>
      <c r="L61" s="7"/>
      <c r="M61" s="7"/>
      <c r="N61" s="7"/>
    </row>
    <row r="62" spans="1:14">
      <c r="A62" s="7"/>
      <c r="B62" s="7"/>
      <c r="C62" s="12"/>
      <c r="D62" s="12"/>
      <c r="E62" s="12"/>
      <c r="F62" s="12"/>
      <c r="G62" s="12"/>
      <c r="H62" s="12"/>
      <c r="I62" s="12"/>
      <c r="J62" s="12"/>
      <c r="K62" s="12"/>
      <c r="L62" s="7"/>
      <c r="M62" s="7"/>
      <c r="N62" s="7"/>
    </row>
    <row r="63" spans="1:1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>
      <c r="A64" s="7"/>
      <c r="B64" s="7"/>
      <c r="C64" s="7"/>
      <c r="D64" s="7"/>
      <c r="E64" s="7"/>
      <c r="F64" s="44" t="s">
        <v>266</v>
      </c>
      <c r="G64" s="44"/>
      <c r="H64" s="44"/>
      <c r="I64" s="7"/>
      <c r="J64" s="7"/>
      <c r="K64" s="7"/>
      <c r="L64" s="7"/>
      <c r="M64" s="7"/>
      <c r="N64" s="7"/>
    </row>
    <row r="65" spans="1:14" ht="15.6">
      <c r="A65" s="7"/>
      <c r="B65" s="7"/>
      <c r="C65" s="7"/>
      <c r="D65" s="7"/>
      <c r="E65" s="55" t="s">
        <v>260</v>
      </c>
      <c r="F65" s="55"/>
      <c r="G65" s="55"/>
      <c r="H65" s="55"/>
      <c r="I65" s="55"/>
      <c r="J65" s="7"/>
      <c r="K65" s="7"/>
      <c r="L65" s="7"/>
      <c r="M65" s="7"/>
      <c r="N65" s="7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>
      <c r="A67" s="4" t="s">
        <v>3</v>
      </c>
      <c r="B67" s="4" t="s">
        <v>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5" t="s">
        <v>5</v>
      </c>
      <c r="B69" s="5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4" t="s">
        <v>6</v>
      </c>
      <c r="B70" s="4"/>
      <c r="C70" s="4"/>
      <c r="D70" s="4"/>
      <c r="E70" s="4"/>
      <c r="F70" s="6" t="s">
        <v>98</v>
      </c>
      <c r="G70" s="7"/>
      <c r="H70" s="4"/>
      <c r="I70" s="4"/>
      <c r="J70" s="8" t="str">
        <f>CONCATENATE("=")</f>
        <v>=</v>
      </c>
      <c r="K70" s="6">
        <v>0.05</v>
      </c>
      <c r="L70" s="6" t="s">
        <v>124</v>
      </c>
      <c r="M70" s="6"/>
      <c r="N70" s="6"/>
    </row>
    <row r="71" spans="1:14" ht="18.600000000000001">
      <c r="A71" s="4" t="s">
        <v>7</v>
      </c>
      <c r="B71" s="4"/>
      <c r="C71" s="4"/>
      <c r="D71" s="4"/>
      <c r="E71" s="4"/>
      <c r="F71" s="6" t="s">
        <v>249</v>
      </c>
      <c r="G71" s="7"/>
      <c r="H71" s="4"/>
      <c r="I71" s="4"/>
      <c r="J71" s="8" t="str">
        <f t="shared" ref="G71:J108" si="0">CONCATENATE("=")</f>
        <v>=</v>
      </c>
      <c r="K71" s="19">
        <v>6</v>
      </c>
      <c r="L71" s="6"/>
      <c r="M71" s="6"/>
      <c r="N71" s="6"/>
    </row>
    <row r="72" spans="1:14">
      <c r="A72" s="5" t="s">
        <v>8</v>
      </c>
      <c r="B72" s="5"/>
      <c r="C72" s="4"/>
      <c r="D72" s="4"/>
      <c r="E72" s="4"/>
      <c r="F72" s="6"/>
      <c r="G72" s="7"/>
      <c r="H72" s="4"/>
      <c r="I72" s="4"/>
      <c r="J72" s="8"/>
      <c r="K72" s="6"/>
      <c r="L72" s="6"/>
      <c r="M72" s="6"/>
      <c r="N72" s="6"/>
    </row>
    <row r="73" spans="1:14">
      <c r="A73" s="4" t="s">
        <v>9</v>
      </c>
      <c r="B73" s="4"/>
      <c r="C73" s="4"/>
      <c r="D73" s="4"/>
      <c r="E73" s="10"/>
      <c r="F73" s="10" t="s">
        <v>99</v>
      </c>
      <c r="G73" s="7"/>
      <c r="H73" s="4"/>
      <c r="I73" s="4"/>
      <c r="J73" s="8" t="str">
        <f t="shared" si="0"/>
        <v>=</v>
      </c>
      <c r="K73" s="6">
        <v>22.5</v>
      </c>
      <c r="L73" s="6" t="s">
        <v>125</v>
      </c>
      <c r="M73" s="6">
        <f>K73*2.54</f>
        <v>57.15</v>
      </c>
      <c r="N73" s="6" t="s">
        <v>126</v>
      </c>
    </row>
    <row r="74" spans="1:14">
      <c r="A74" s="4" t="s">
        <v>10</v>
      </c>
      <c r="B74" s="4"/>
      <c r="C74" s="4"/>
      <c r="D74" s="4"/>
      <c r="E74" s="10"/>
      <c r="F74" s="10" t="s">
        <v>123</v>
      </c>
      <c r="G74" s="7"/>
      <c r="H74" s="4"/>
      <c r="I74" s="4"/>
      <c r="J74" s="8" t="str">
        <f t="shared" si="0"/>
        <v>=</v>
      </c>
      <c r="K74" s="6">
        <v>24</v>
      </c>
      <c r="L74" s="6"/>
      <c r="M74" s="6"/>
      <c r="N74" s="6"/>
    </row>
    <row r="75" spans="1:14">
      <c r="A75" s="4" t="s">
        <v>11</v>
      </c>
      <c r="B75" s="4"/>
      <c r="C75" s="4"/>
      <c r="D75" s="4"/>
      <c r="E75" s="10"/>
      <c r="F75" s="10" t="s">
        <v>100</v>
      </c>
      <c r="G75" s="7"/>
      <c r="H75" s="4"/>
      <c r="I75" s="4"/>
      <c r="J75" s="8" t="str">
        <f t="shared" si="0"/>
        <v>=</v>
      </c>
      <c r="K75" s="6">
        <v>3</v>
      </c>
      <c r="L75" s="6" t="s">
        <v>125</v>
      </c>
      <c r="M75" s="6"/>
      <c r="N75" s="6"/>
    </row>
    <row r="76" spans="1:14">
      <c r="A76" s="4" t="s">
        <v>12</v>
      </c>
      <c r="B76" s="4"/>
      <c r="C76" s="4"/>
      <c r="D76" s="4"/>
      <c r="E76" s="10"/>
      <c r="F76" s="10" t="s">
        <v>102</v>
      </c>
      <c r="G76" s="7"/>
      <c r="H76" s="4"/>
      <c r="I76" s="4"/>
      <c r="J76" s="8" t="str">
        <f t="shared" si="0"/>
        <v>=</v>
      </c>
      <c r="K76" s="6">
        <v>0.1196</v>
      </c>
      <c r="L76" s="6"/>
      <c r="M76" s="6"/>
      <c r="N76" s="6"/>
    </row>
    <row r="77" spans="1:14" ht="16.2">
      <c r="A77" s="4" t="s">
        <v>101</v>
      </c>
      <c r="B77" s="4"/>
      <c r="C77" s="4"/>
      <c r="D77" s="4"/>
      <c r="E77" s="10"/>
      <c r="F77" s="10" t="s">
        <v>163</v>
      </c>
      <c r="G77" s="7"/>
      <c r="H77" s="4"/>
      <c r="I77" s="4"/>
      <c r="J77" s="8" t="str">
        <f t="shared" si="0"/>
        <v>=</v>
      </c>
      <c r="K77" s="6">
        <v>0.23599999999999999</v>
      </c>
      <c r="L77" s="6"/>
      <c r="M77" s="6"/>
      <c r="N77" s="6"/>
    </row>
    <row r="78" spans="1:14">
      <c r="A78" s="4" t="s">
        <v>13</v>
      </c>
      <c r="B78" s="4"/>
      <c r="C78" s="4"/>
      <c r="D78" s="4"/>
      <c r="E78" s="10"/>
      <c r="F78" s="10" t="s">
        <v>103</v>
      </c>
      <c r="G78" s="7"/>
      <c r="H78" s="4"/>
      <c r="I78" s="4"/>
      <c r="J78" s="8" t="str">
        <f t="shared" si="0"/>
        <v>=</v>
      </c>
      <c r="K78" s="6">
        <v>19.05</v>
      </c>
      <c r="L78" s="6"/>
      <c r="M78" s="6"/>
      <c r="N78" s="6"/>
    </row>
    <row r="79" spans="1:14" ht="16.2">
      <c r="A79" s="4" t="s">
        <v>14</v>
      </c>
      <c r="B79" s="4"/>
      <c r="C79" s="4"/>
      <c r="D79" s="4"/>
      <c r="E79" s="10"/>
      <c r="F79" s="10" t="s">
        <v>164</v>
      </c>
      <c r="G79" s="7"/>
      <c r="H79" s="4"/>
      <c r="I79" s="4"/>
      <c r="J79" s="8" t="str">
        <f t="shared" si="0"/>
        <v>=</v>
      </c>
      <c r="K79" s="6">
        <v>1</v>
      </c>
      <c r="L79" s="6"/>
      <c r="M79" s="6"/>
      <c r="N79" s="6"/>
    </row>
    <row r="80" spans="1:14" ht="16.2">
      <c r="A80" s="4" t="s">
        <v>15</v>
      </c>
      <c r="B80" s="4"/>
      <c r="C80" s="4"/>
      <c r="D80" s="4"/>
      <c r="E80" s="10"/>
      <c r="F80" s="10" t="s">
        <v>165</v>
      </c>
      <c r="G80" s="7"/>
      <c r="H80" s="4"/>
      <c r="I80" s="4"/>
      <c r="J80" s="8" t="str">
        <f t="shared" si="0"/>
        <v>=</v>
      </c>
      <c r="K80" s="6">
        <v>1</v>
      </c>
      <c r="L80" s="6"/>
      <c r="M80" s="6"/>
      <c r="N80" s="6"/>
    </row>
    <row r="81" spans="1:15" ht="16.2">
      <c r="A81" s="4" t="s">
        <v>16</v>
      </c>
      <c r="B81" s="4"/>
      <c r="C81" s="4"/>
      <c r="D81" s="4"/>
      <c r="E81" s="10"/>
      <c r="F81" s="10" t="s">
        <v>166</v>
      </c>
      <c r="G81" s="7"/>
      <c r="H81" s="4"/>
      <c r="I81" s="4"/>
      <c r="J81" s="8" t="str">
        <f t="shared" si="0"/>
        <v>=</v>
      </c>
      <c r="K81" s="6">
        <v>1</v>
      </c>
      <c r="L81" s="6"/>
      <c r="M81" s="6"/>
      <c r="N81" s="6"/>
    </row>
    <row r="82" spans="1:15" ht="16.2">
      <c r="A82" s="4" t="s">
        <v>17</v>
      </c>
      <c r="B82" s="4"/>
      <c r="C82" s="10" t="s">
        <v>167</v>
      </c>
      <c r="D82" s="49" t="str">
        <f>CONCATENATE("=","N","*","ti","+","(N-1)","*","ts","+","tbp","+","ttp","+",2,"*","tip")</f>
        <v>=N*ti+(N-1)*ts+tbp+ttp+2*tip</v>
      </c>
      <c r="E82" s="49"/>
      <c r="F82" s="49"/>
      <c r="G82" s="49"/>
      <c r="H82" s="49"/>
      <c r="I82" s="49"/>
      <c r="J82" s="8" t="str">
        <f t="shared" si="0"/>
        <v>=</v>
      </c>
      <c r="K82" s="20">
        <f>(K74*K77+(K74-1)*K76+K80+K79+2*K81)*25.4</f>
        <v>315.33591999999999</v>
      </c>
      <c r="L82" s="6" t="s">
        <v>126</v>
      </c>
      <c r="M82" s="6"/>
      <c r="N82" s="6"/>
    </row>
    <row r="83" spans="1:15">
      <c r="A83" s="5" t="s">
        <v>18</v>
      </c>
      <c r="B83" s="5"/>
      <c r="C83" s="4"/>
      <c r="D83" s="4"/>
      <c r="E83" s="10"/>
      <c r="F83" s="10"/>
      <c r="G83" s="7"/>
      <c r="H83" s="4"/>
      <c r="I83" s="4"/>
      <c r="J83" s="8"/>
      <c r="K83" s="4"/>
      <c r="L83" s="4"/>
      <c r="M83" s="4"/>
      <c r="N83" s="4"/>
    </row>
    <row r="84" spans="1:15" ht="16.2">
      <c r="A84" s="4" t="s">
        <v>18</v>
      </c>
      <c r="B84" s="4"/>
      <c r="C84" s="4"/>
      <c r="D84" s="10" t="s">
        <v>168</v>
      </c>
      <c r="E84" s="54" t="s">
        <v>127</v>
      </c>
      <c r="F84" s="54"/>
      <c r="G84" s="54"/>
      <c r="H84" s="54"/>
      <c r="I84" s="54"/>
      <c r="J84" s="8" t="str">
        <f t="shared" si="0"/>
        <v>=</v>
      </c>
      <c r="K84" s="19">
        <v>6</v>
      </c>
      <c r="L84" s="6" t="s">
        <v>129</v>
      </c>
      <c r="M84" s="4"/>
      <c r="N84" s="4"/>
    </row>
    <row r="85" spans="1:15" ht="16.2">
      <c r="A85" s="4" t="s">
        <v>19</v>
      </c>
      <c r="B85" s="4"/>
      <c r="C85" s="4"/>
      <c r="D85" s="10" t="s">
        <v>169</v>
      </c>
      <c r="E85" s="52" t="s">
        <v>128</v>
      </c>
      <c r="F85" s="52"/>
      <c r="G85" s="52"/>
      <c r="H85" s="52"/>
      <c r="I85" s="52"/>
      <c r="J85" s="8" t="str">
        <f t="shared" si="0"/>
        <v>=</v>
      </c>
      <c r="K85" s="19">
        <v>12</v>
      </c>
      <c r="L85" s="6" t="s">
        <v>129</v>
      </c>
      <c r="M85" s="4"/>
      <c r="N85" s="4"/>
    </row>
    <row r="86" spans="1:15">
      <c r="A86" s="5" t="s">
        <v>20</v>
      </c>
      <c r="B86" s="5"/>
      <c r="C86" s="4"/>
      <c r="D86" s="4"/>
      <c r="E86" s="10"/>
      <c r="F86" s="10"/>
      <c r="G86" s="7"/>
      <c r="H86" s="4"/>
      <c r="I86" s="4"/>
      <c r="J86" s="8"/>
      <c r="K86" s="19"/>
      <c r="L86" s="6"/>
      <c r="M86" s="4"/>
      <c r="N86" s="4"/>
    </row>
    <row r="87" spans="1:15">
      <c r="A87" s="4" t="s">
        <v>21</v>
      </c>
      <c r="B87" s="4"/>
      <c r="C87" s="4"/>
      <c r="D87" s="4" t="s">
        <v>250</v>
      </c>
      <c r="E87" s="10"/>
      <c r="F87" s="10" t="s">
        <v>104</v>
      </c>
      <c r="G87" s="7"/>
      <c r="H87" s="4"/>
      <c r="I87" s="4"/>
      <c r="J87" s="8" t="str">
        <f t="shared" si="0"/>
        <v>=</v>
      </c>
      <c r="K87" s="17">
        <v>3</v>
      </c>
      <c r="L87" s="6"/>
      <c r="M87" s="4"/>
      <c r="N87" s="4"/>
    </row>
    <row r="88" spans="1:15" ht="16.2">
      <c r="A88" s="4" t="s">
        <v>22</v>
      </c>
      <c r="B88" s="4"/>
      <c r="C88" s="4"/>
      <c r="D88" s="4" t="s">
        <v>250</v>
      </c>
      <c r="E88" s="10"/>
      <c r="F88" s="10" t="s">
        <v>170</v>
      </c>
      <c r="G88" s="7"/>
      <c r="H88" s="4"/>
      <c r="I88" s="4"/>
      <c r="J88" s="8" t="str">
        <f t="shared" si="0"/>
        <v>=</v>
      </c>
      <c r="K88" s="17">
        <v>1</v>
      </c>
      <c r="L88" s="6"/>
      <c r="M88" s="4"/>
      <c r="N88" s="4"/>
    </row>
    <row r="89" spans="1:15" ht="16.2">
      <c r="A89" s="4" t="s">
        <v>23</v>
      </c>
      <c r="B89" s="4"/>
      <c r="C89" s="4"/>
      <c r="D89" s="10" t="s">
        <v>251</v>
      </c>
      <c r="E89" s="11" t="s">
        <v>130</v>
      </c>
      <c r="F89" s="11"/>
      <c r="G89" s="11"/>
      <c r="H89" s="11"/>
      <c r="I89" s="4"/>
      <c r="J89" s="8" t="str">
        <f t="shared" si="0"/>
        <v>=</v>
      </c>
      <c r="K89" s="19">
        <v>0</v>
      </c>
      <c r="L89" s="6"/>
      <c r="M89" s="4" t="s">
        <v>233</v>
      </c>
      <c r="N89" s="9">
        <v>0</v>
      </c>
      <c r="O89" s="1"/>
    </row>
    <row r="90" spans="1:15">
      <c r="A90" s="4" t="s">
        <v>24</v>
      </c>
      <c r="B90" s="4"/>
      <c r="C90" s="4"/>
      <c r="D90" s="10" t="s">
        <v>105</v>
      </c>
      <c r="E90" s="11" t="s">
        <v>131</v>
      </c>
      <c r="F90" s="12"/>
      <c r="G90" s="12"/>
      <c r="H90" s="12"/>
      <c r="I90" s="12"/>
      <c r="J90" s="8" t="str">
        <f t="shared" si="0"/>
        <v>=</v>
      </c>
      <c r="K90" s="41">
        <v>800</v>
      </c>
      <c r="L90" s="6" t="s">
        <v>133</v>
      </c>
      <c r="M90" s="4"/>
      <c r="N90" s="4"/>
    </row>
    <row r="91" spans="1:15" ht="16.2">
      <c r="A91" s="4" t="s">
        <v>25</v>
      </c>
      <c r="B91" s="4"/>
      <c r="C91" s="4"/>
      <c r="D91" s="10" t="s">
        <v>171</v>
      </c>
      <c r="E91" s="11" t="s">
        <v>132</v>
      </c>
      <c r="F91" s="12"/>
      <c r="G91" s="12"/>
      <c r="H91" s="12"/>
      <c r="I91" s="12"/>
      <c r="J91" s="8" t="str">
        <f t="shared" si="0"/>
        <v>=</v>
      </c>
      <c r="K91" s="41">
        <v>1400</v>
      </c>
      <c r="L91" s="6" t="s">
        <v>133</v>
      </c>
      <c r="M91" s="4"/>
      <c r="N91" s="4"/>
    </row>
    <row r="92" spans="1:15">
      <c r="A92" s="5" t="s">
        <v>26</v>
      </c>
      <c r="B92" s="5"/>
      <c r="C92" s="4"/>
      <c r="D92" s="4"/>
      <c r="E92" s="10"/>
      <c r="F92" s="10"/>
      <c r="G92" s="7"/>
      <c r="H92" s="4"/>
      <c r="I92" s="4"/>
      <c r="J92" s="8"/>
      <c r="K92" s="6"/>
      <c r="L92" s="6"/>
      <c r="M92" s="4"/>
      <c r="N92" s="4"/>
    </row>
    <row r="93" spans="1:15">
      <c r="A93" s="4" t="s">
        <v>27</v>
      </c>
      <c r="B93" s="4"/>
      <c r="C93" s="4"/>
      <c r="D93" s="4"/>
      <c r="E93" s="10"/>
      <c r="F93" s="10" t="s">
        <v>107</v>
      </c>
      <c r="G93" s="7"/>
      <c r="H93" s="4"/>
      <c r="I93" s="4"/>
      <c r="J93" s="8" t="str">
        <f t="shared" si="0"/>
        <v>=</v>
      </c>
      <c r="K93" s="6">
        <v>300</v>
      </c>
      <c r="L93" s="6" t="s">
        <v>134</v>
      </c>
      <c r="M93" s="4"/>
      <c r="N93" s="4"/>
    </row>
    <row r="94" spans="1:15" ht="16.2">
      <c r="A94" s="4" t="s">
        <v>28</v>
      </c>
      <c r="B94" s="4"/>
      <c r="C94" s="4"/>
      <c r="D94" s="4"/>
      <c r="E94" s="10"/>
      <c r="F94" s="10" t="s">
        <v>172</v>
      </c>
      <c r="G94" s="7" t="s">
        <v>135</v>
      </c>
      <c r="H94" s="4"/>
      <c r="I94" s="4"/>
      <c r="J94" s="8" t="str">
        <f t="shared" si="0"/>
        <v>=</v>
      </c>
      <c r="K94" s="6">
        <f>4*K70</f>
        <v>0.2</v>
      </c>
      <c r="L94" s="6" t="s">
        <v>134</v>
      </c>
      <c r="M94" s="4"/>
      <c r="N94" s="4"/>
    </row>
    <row r="95" spans="1:15">
      <c r="A95" s="4" t="s">
        <v>29</v>
      </c>
      <c r="B95" s="4"/>
      <c r="C95" s="10" t="s">
        <v>108</v>
      </c>
      <c r="D95" s="51" t="s">
        <v>136</v>
      </c>
      <c r="E95" s="51"/>
      <c r="F95" s="51"/>
      <c r="G95" s="51"/>
      <c r="H95" s="51"/>
      <c r="I95" s="51"/>
      <c r="J95" s="8" t="str">
        <f t="shared" si="0"/>
        <v>=</v>
      </c>
      <c r="K95" s="6"/>
      <c r="L95" s="6"/>
      <c r="M95" s="4"/>
      <c r="N95" s="4"/>
    </row>
    <row r="96" spans="1:15">
      <c r="A96" s="6" t="s">
        <v>30</v>
      </c>
      <c r="B96" s="6"/>
      <c r="C96" s="6" t="s">
        <v>137</v>
      </c>
      <c r="D96" s="4" t="s">
        <v>138</v>
      </c>
      <c r="E96" s="10"/>
      <c r="F96" s="10"/>
      <c r="G96" s="7"/>
      <c r="H96" s="4"/>
      <c r="I96" s="4"/>
      <c r="J96" s="8" t="str">
        <f t="shared" si="0"/>
        <v>=</v>
      </c>
      <c r="K96" s="6">
        <v>0.85</v>
      </c>
      <c r="L96" s="6"/>
      <c r="M96" s="4"/>
      <c r="N96" s="4"/>
    </row>
    <row r="97" spans="1:16">
      <c r="A97" s="4" t="s">
        <v>31</v>
      </c>
      <c r="B97" s="4"/>
      <c r="C97" s="4"/>
      <c r="D97" s="4"/>
      <c r="E97" s="10"/>
      <c r="F97" s="10" t="s">
        <v>109</v>
      </c>
      <c r="G97" s="7" t="s">
        <v>139</v>
      </c>
      <c r="H97" s="4"/>
      <c r="I97" s="4"/>
      <c r="J97" s="8" t="str">
        <f t="shared" si="0"/>
        <v>=</v>
      </c>
      <c r="K97" s="6">
        <f>K77*K74</f>
        <v>5.6639999999999997</v>
      </c>
      <c r="L97" s="6" t="s">
        <v>129</v>
      </c>
      <c r="M97" s="4"/>
      <c r="N97" s="4"/>
    </row>
    <row r="98" spans="1:16">
      <c r="A98" s="4" t="s">
        <v>32</v>
      </c>
      <c r="B98" s="4"/>
      <c r="C98" s="4"/>
      <c r="D98" s="4"/>
      <c r="E98" s="14" t="s">
        <v>140</v>
      </c>
      <c r="F98" s="14"/>
      <c r="G98" s="14"/>
      <c r="H98" s="4"/>
      <c r="I98" s="4"/>
      <c r="J98" s="8" t="str">
        <f t="shared" si="0"/>
        <v>=</v>
      </c>
      <c r="K98" s="17">
        <f>K73-2*(K78/25.4)</f>
        <v>21</v>
      </c>
      <c r="L98" s="6" t="s">
        <v>129</v>
      </c>
      <c r="M98" s="4"/>
      <c r="N98" s="4"/>
    </row>
    <row r="99" spans="1:16" ht="16.2">
      <c r="A99" s="4" t="s">
        <v>33</v>
      </c>
      <c r="B99" s="4"/>
      <c r="C99" s="4"/>
      <c r="D99" s="4"/>
      <c r="E99" s="49" t="s">
        <v>173</v>
      </c>
      <c r="F99" s="49"/>
      <c r="G99" s="7"/>
      <c r="H99" s="4"/>
      <c r="I99" s="4"/>
      <c r="J99" s="8" t="str">
        <f t="shared" si="0"/>
        <v>=</v>
      </c>
      <c r="K99" s="19">
        <f>PI()*K98^2/4</f>
        <v>346.36059005827468</v>
      </c>
      <c r="L99" s="6" t="s">
        <v>141</v>
      </c>
      <c r="M99" s="4"/>
      <c r="N99" s="4"/>
    </row>
    <row r="100" spans="1:16">
      <c r="A100" s="4" t="s">
        <v>110</v>
      </c>
      <c r="B100" s="4"/>
      <c r="C100" s="4"/>
      <c r="D100" s="4"/>
      <c r="E100" s="52" t="s">
        <v>174</v>
      </c>
      <c r="F100" s="52"/>
      <c r="G100" s="7"/>
      <c r="H100" s="4"/>
      <c r="I100" s="4"/>
      <c r="J100" s="8" t="str">
        <f t="shared" si="0"/>
        <v>=</v>
      </c>
      <c r="K100" s="19">
        <f>PI()*K75^2/4</f>
        <v>7.0685834705770345</v>
      </c>
      <c r="L100" s="6" t="s">
        <v>141</v>
      </c>
      <c r="M100" s="4"/>
      <c r="N100" s="4"/>
    </row>
    <row r="101" spans="1:16">
      <c r="A101" s="4" t="s">
        <v>34</v>
      </c>
      <c r="B101" s="4"/>
      <c r="C101" s="4"/>
      <c r="D101" s="4"/>
      <c r="E101" s="52" t="s">
        <v>142</v>
      </c>
      <c r="F101" s="52"/>
      <c r="G101" s="7"/>
      <c r="H101" s="4"/>
      <c r="I101" s="4"/>
      <c r="J101" s="8" t="str">
        <f t="shared" si="0"/>
        <v>=</v>
      </c>
      <c r="K101" s="19">
        <f>K99-K100</f>
        <v>339.29200658769764</v>
      </c>
      <c r="L101" s="6" t="s">
        <v>141</v>
      </c>
      <c r="M101" s="4"/>
      <c r="N101" s="4"/>
    </row>
    <row r="102" spans="1:16">
      <c r="A102" s="4" t="s">
        <v>35</v>
      </c>
      <c r="B102" s="4"/>
      <c r="C102" s="4"/>
      <c r="D102" s="4"/>
      <c r="E102" s="52" t="s">
        <v>175</v>
      </c>
      <c r="F102" s="52"/>
      <c r="G102" s="7"/>
      <c r="H102" s="4"/>
      <c r="I102" s="4"/>
      <c r="J102" s="8" t="str">
        <f t="shared" si="0"/>
        <v>=</v>
      </c>
      <c r="K102" s="17">
        <f>PI()*K73^2/4-K100</f>
        <v>390.53923674938113</v>
      </c>
      <c r="L102" s="6" t="s">
        <v>141</v>
      </c>
      <c r="M102" s="4"/>
      <c r="N102" s="4"/>
    </row>
    <row r="103" spans="1:16">
      <c r="A103" s="4" t="s">
        <v>36</v>
      </c>
      <c r="B103" s="4"/>
      <c r="C103" s="4"/>
      <c r="D103" s="4"/>
      <c r="E103" s="15" t="s">
        <v>176</v>
      </c>
      <c r="F103" s="15"/>
      <c r="G103" s="7"/>
      <c r="H103" s="4"/>
      <c r="I103" s="4" t="s">
        <v>143</v>
      </c>
      <c r="J103" s="8" t="str">
        <f t="shared" si="0"/>
        <v>=</v>
      </c>
      <c r="K103" s="19">
        <f>0.25*PI()*(K98^2-K75^2)/(PI()*K98*K77)</f>
        <v>21.791767554479417</v>
      </c>
      <c r="L103" s="6"/>
      <c r="M103" s="4"/>
      <c r="N103" s="4"/>
    </row>
    <row r="104" spans="1:16">
      <c r="A104" s="6" t="s">
        <v>37</v>
      </c>
      <c r="B104" s="6"/>
      <c r="C104" s="6"/>
      <c r="D104" s="4"/>
      <c r="E104" s="51"/>
      <c r="F104" s="51"/>
      <c r="G104" s="7"/>
      <c r="H104" s="4"/>
      <c r="I104" s="4"/>
      <c r="J104" s="8" t="str">
        <f t="shared" si="0"/>
        <v>=</v>
      </c>
      <c r="K104" s="6"/>
      <c r="L104" s="6"/>
      <c r="M104" s="4"/>
      <c r="N104" s="4"/>
    </row>
    <row r="105" spans="1:16">
      <c r="A105" s="4" t="s">
        <v>38</v>
      </c>
      <c r="B105" s="4"/>
      <c r="C105" s="4"/>
      <c r="D105" s="4"/>
      <c r="E105" s="4"/>
      <c r="F105" s="15" t="s">
        <v>111</v>
      </c>
      <c r="G105" s="52" t="s">
        <v>144</v>
      </c>
      <c r="H105" s="52"/>
      <c r="I105" s="52"/>
      <c r="J105" s="8" t="str">
        <f t="shared" si="0"/>
        <v>=</v>
      </c>
      <c r="K105" s="34">
        <f>K94*(1+2*K96*K103^2)</f>
        <v>161.65958527047704</v>
      </c>
      <c r="L105" s="6" t="s">
        <v>134</v>
      </c>
      <c r="M105" s="4"/>
      <c r="N105" s="4"/>
      <c r="P105">
        <f>(2*K98^2*ASIN((K98^2-G113^2)^0.5/K98)-G113*(K98^2-G113^2)^0.5)/(PI()*K98^2)</f>
        <v>1</v>
      </c>
    </row>
    <row r="106" spans="1:16">
      <c r="A106" s="12" t="s">
        <v>39</v>
      </c>
      <c r="B106" s="12"/>
      <c r="C106" s="12"/>
      <c r="D106" s="12"/>
      <c r="E106" s="12"/>
      <c r="F106" s="15" t="s">
        <v>112</v>
      </c>
      <c r="G106" s="52" t="s">
        <v>145</v>
      </c>
      <c r="H106" s="52"/>
      <c r="I106" s="52"/>
      <c r="J106" s="52"/>
      <c r="K106" s="34">
        <f>1/(1/K105+1/K93)</f>
        <v>105.05116135026024</v>
      </c>
      <c r="L106" s="6" t="s">
        <v>134</v>
      </c>
      <c r="M106" s="4"/>
      <c r="N106" s="4"/>
    </row>
    <row r="107" spans="1:16">
      <c r="A107" s="5" t="s">
        <v>40</v>
      </c>
      <c r="B107" s="5"/>
      <c r="C107" s="5"/>
      <c r="D107" s="15" t="s">
        <v>113</v>
      </c>
      <c r="E107" s="52" t="s">
        <v>155</v>
      </c>
      <c r="F107" s="52"/>
      <c r="G107" s="52"/>
      <c r="H107" s="4"/>
      <c r="I107" s="4"/>
      <c r="J107" s="4"/>
      <c r="K107" s="34">
        <f>K106*K101/(K74*K77)</f>
        <v>6292.9059549607682</v>
      </c>
      <c r="L107" s="6" t="s">
        <v>146</v>
      </c>
      <c r="M107" s="4"/>
      <c r="N107" s="4"/>
    </row>
    <row r="108" spans="1:16">
      <c r="A108" s="4" t="s">
        <v>41</v>
      </c>
      <c r="B108" s="5"/>
      <c r="C108" s="5"/>
      <c r="D108" s="4"/>
      <c r="E108" s="4"/>
      <c r="F108" s="4"/>
      <c r="G108" s="8" t="str">
        <f t="shared" si="0"/>
        <v>=</v>
      </c>
      <c r="H108" s="4"/>
      <c r="I108" s="4"/>
      <c r="J108" s="4"/>
      <c r="K108" s="6"/>
      <c r="L108" s="6"/>
      <c r="M108" s="4"/>
      <c r="N108" s="4"/>
    </row>
    <row r="109" spans="1:16">
      <c r="A109" s="4" t="s">
        <v>42</v>
      </c>
      <c r="B109" s="4"/>
      <c r="C109" s="4"/>
      <c r="D109" s="4"/>
      <c r="E109" s="4"/>
      <c r="F109" s="4"/>
      <c r="G109" s="4"/>
      <c r="H109" s="4"/>
      <c r="I109" s="4"/>
      <c r="J109" s="4"/>
      <c r="K109" s="42">
        <v>17000</v>
      </c>
      <c r="L109" s="6" t="s">
        <v>146</v>
      </c>
      <c r="M109" s="4"/>
      <c r="N109" s="4"/>
      <c r="P109">
        <f>((K98^2*ASIN((K98^2-K113^2)^0.5/K98)-K113*(K98^2-K113^2)^0.5)/(PI()*K98^2))*2</f>
        <v>0.31423988581546408</v>
      </c>
    </row>
    <row r="110" spans="1:16">
      <c r="A110" s="5" t="s">
        <v>43</v>
      </c>
      <c r="B110" s="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6">
      <c r="A111" s="4" t="s">
        <v>44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6">
      <c r="A112" s="4" t="s">
        <v>45</v>
      </c>
      <c r="B112" s="4"/>
      <c r="C112" s="4"/>
      <c r="D112" s="4"/>
      <c r="E112" s="4"/>
      <c r="F112" s="4"/>
      <c r="G112" s="8"/>
      <c r="H112" s="4"/>
      <c r="I112" s="4"/>
      <c r="J112" s="4"/>
      <c r="K112" s="4"/>
      <c r="L112" s="4"/>
      <c r="M112" s="4"/>
      <c r="N112" s="4"/>
    </row>
    <row r="113" spans="1:15">
      <c r="A113" s="4" t="s">
        <v>46</v>
      </c>
      <c r="B113" s="4"/>
      <c r="C113" s="4"/>
      <c r="D113" s="4"/>
      <c r="E113" s="8" t="s">
        <v>162</v>
      </c>
      <c r="F113" s="4" t="s">
        <v>177</v>
      </c>
      <c r="G113" s="7">
        <v>0</v>
      </c>
      <c r="H113" s="4" t="s">
        <v>129</v>
      </c>
      <c r="I113" s="4">
        <v>6</v>
      </c>
      <c r="J113" s="4" t="s">
        <v>129</v>
      </c>
      <c r="K113" s="4">
        <v>12</v>
      </c>
      <c r="L113" s="4" t="s">
        <v>129</v>
      </c>
      <c r="M113" s="4"/>
      <c r="N113" s="4"/>
    </row>
    <row r="114" spans="1:15" ht="15.6">
      <c r="A114" s="4"/>
      <c r="B114" s="4"/>
      <c r="C114" s="4"/>
      <c r="D114" s="4"/>
      <c r="E114" s="6" t="s">
        <v>223</v>
      </c>
      <c r="F114" s="52" t="s">
        <v>220</v>
      </c>
      <c r="G114" s="52"/>
      <c r="H114" s="52"/>
      <c r="I114" s="52"/>
      <c r="J114" s="52"/>
      <c r="K114" s="26">
        <f>((K98^2*ASIN((K98^2-G113^2)^0.5/K98)-G113*(K98^2-G113^2)^0.5)/(PI()*K98^2))*2</f>
        <v>1</v>
      </c>
      <c r="L114" s="15"/>
      <c r="M114" s="15"/>
      <c r="N114" s="4"/>
    </row>
    <row r="115" spans="1:15">
      <c r="A115" s="4"/>
      <c r="B115" s="4"/>
      <c r="C115" s="4"/>
      <c r="D115" s="4"/>
      <c r="E115" s="6" t="s">
        <v>221</v>
      </c>
      <c r="F115" s="4"/>
      <c r="G115" s="4"/>
      <c r="H115" s="4"/>
      <c r="I115" s="4"/>
      <c r="J115" s="25" t="str">
        <f t="shared" ref="J115:J116" si="1">CONCATENATE("=")</f>
        <v>=</v>
      </c>
      <c r="K115" s="20">
        <f>((K98^2*ASIN((K98^2-I113^2)^0.5/K98)-I113*(K98^2-I113^2)^0.5)/(PI()*K98^2))*2</f>
        <v>0.64122914348241677</v>
      </c>
      <c r="L115" s="4"/>
      <c r="M115" s="4"/>
      <c r="N115" s="4"/>
    </row>
    <row r="116" spans="1:15">
      <c r="A116" s="4"/>
      <c r="B116" s="4"/>
      <c r="C116" s="4"/>
      <c r="D116" s="4"/>
      <c r="E116" s="6" t="s">
        <v>222</v>
      </c>
      <c r="F116" s="4"/>
      <c r="G116" s="4"/>
      <c r="H116" s="4"/>
      <c r="I116" s="4"/>
      <c r="J116" s="25" t="str">
        <f t="shared" si="1"/>
        <v>=</v>
      </c>
      <c r="K116" s="2">
        <f>((K98^2*ASIN((K98^2-K113^2)^0.5/K98)-K113*(K98^2-K113^2)^0.5)/(PI()*K98^2))*2</f>
        <v>0.31423988581546408</v>
      </c>
      <c r="L116" s="4"/>
      <c r="M116" s="4"/>
      <c r="N116" s="4"/>
    </row>
    <row r="117" spans="1:15">
      <c r="A117" s="5" t="s">
        <v>47</v>
      </c>
      <c r="B117" s="5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5">
      <c r="A118" s="4" t="s">
        <v>48</v>
      </c>
      <c r="B118" s="4"/>
      <c r="C118" s="4"/>
      <c r="D118" s="15" t="s">
        <v>114</v>
      </c>
      <c r="E118" s="8" t="str">
        <f t="shared" ref="E118" si="2">CONCATENATE("=")</f>
        <v>=</v>
      </c>
      <c r="F118" s="15" t="s">
        <v>147</v>
      </c>
      <c r="G118" s="8"/>
      <c r="H118" s="4"/>
      <c r="I118" s="4"/>
      <c r="J118" s="8" t="str">
        <f t="shared" ref="J118" si="3">CONCATENATE("=")</f>
        <v>=</v>
      </c>
      <c r="K118" s="17">
        <f>K102*K70/K97</f>
        <v>3.4475568215870518</v>
      </c>
      <c r="L118" s="6" t="s">
        <v>148</v>
      </c>
      <c r="M118" s="4"/>
      <c r="N118" s="4"/>
    </row>
    <row r="119" spans="1:15">
      <c r="A119" s="4" t="s">
        <v>49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5">
      <c r="A120" s="4" t="s">
        <v>50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5">
      <c r="A121" s="4" t="s">
        <v>178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5">
      <c r="A122" s="4" t="s">
        <v>51</v>
      </c>
      <c r="B122" s="4"/>
      <c r="C122" s="4"/>
      <c r="D122" s="18" t="s">
        <v>149</v>
      </c>
      <c r="E122" s="18" t="s">
        <v>150</v>
      </c>
      <c r="F122" s="18"/>
      <c r="G122" s="7"/>
      <c r="H122" s="4"/>
      <c r="I122" s="4"/>
      <c r="J122" s="8" t="str">
        <f t="shared" ref="J122:J138" si="4">CONCATENATE("=")</f>
        <v>=</v>
      </c>
      <c r="K122" s="17">
        <f>10*K118</f>
        <v>34.475568215870517</v>
      </c>
      <c r="L122" s="6" t="s">
        <v>148</v>
      </c>
      <c r="M122" s="4"/>
      <c r="N122" s="4"/>
    </row>
    <row r="123" spans="1:15">
      <c r="A123" s="4" t="s">
        <v>52</v>
      </c>
      <c r="B123" s="4"/>
      <c r="C123" s="4"/>
      <c r="D123" s="18" t="s">
        <v>151</v>
      </c>
      <c r="E123" s="18" t="s">
        <v>179</v>
      </c>
      <c r="F123" s="18"/>
      <c r="G123" s="7"/>
      <c r="H123" s="4"/>
      <c r="I123" s="4"/>
      <c r="J123" s="8" t="str">
        <f t="shared" si="4"/>
        <v>=</v>
      </c>
      <c r="K123" s="19">
        <f>1.3*(PI()/4*K75^2)</f>
        <v>9.1891585117501453</v>
      </c>
      <c r="L123" s="6" t="s">
        <v>152</v>
      </c>
      <c r="M123" s="4"/>
      <c r="N123" s="4"/>
    </row>
    <row r="124" spans="1:15">
      <c r="A124" s="4" t="s">
        <v>53</v>
      </c>
      <c r="B124" s="4"/>
      <c r="C124" s="4"/>
      <c r="D124" s="18" t="s">
        <v>153</v>
      </c>
      <c r="E124" s="18" t="s">
        <v>154</v>
      </c>
      <c r="F124" s="18"/>
      <c r="G124" s="7"/>
      <c r="H124" s="4"/>
      <c r="I124" s="4"/>
      <c r="J124" s="8" t="str">
        <f t="shared" si="4"/>
        <v>=</v>
      </c>
      <c r="K124" s="19">
        <f>K123*K122/(K122-K118)</f>
        <v>10.210176124166829</v>
      </c>
      <c r="L124" s="6" t="s">
        <v>152</v>
      </c>
      <c r="M124" s="4"/>
      <c r="N124" s="4"/>
      <c r="O124">
        <f>ASIN(0.976771023)</f>
        <v>1.3548358250508259</v>
      </c>
    </row>
    <row r="125" spans="1:15">
      <c r="A125" s="4" t="s">
        <v>54</v>
      </c>
      <c r="B125" s="4"/>
      <c r="C125" s="4"/>
      <c r="D125" s="18" t="s">
        <v>180</v>
      </c>
      <c r="E125" s="18"/>
      <c r="F125" s="18"/>
      <c r="G125" s="7"/>
      <c r="H125" s="4"/>
      <c r="I125" s="4"/>
      <c r="J125" s="8" t="str">
        <f t="shared" si="4"/>
        <v>=</v>
      </c>
      <c r="K125" s="17">
        <f>K124/K122</f>
        <v>0.296156862745098</v>
      </c>
      <c r="L125" s="6" t="s">
        <v>129</v>
      </c>
      <c r="M125" s="4"/>
      <c r="N125" s="4"/>
    </row>
    <row r="126" spans="1:15">
      <c r="A126" s="5" t="s">
        <v>55</v>
      </c>
      <c r="B126" s="5"/>
      <c r="C126" s="5"/>
      <c r="D126" s="5"/>
      <c r="E126" s="4"/>
      <c r="F126" s="4"/>
      <c r="G126" s="7"/>
      <c r="H126" s="4"/>
      <c r="I126" s="4"/>
      <c r="J126" s="8"/>
      <c r="K126" s="6"/>
      <c r="L126" s="6"/>
      <c r="M126" s="4"/>
      <c r="N126" s="4"/>
    </row>
    <row r="127" spans="1:15">
      <c r="A127" s="4" t="s">
        <v>57</v>
      </c>
      <c r="B127" s="4"/>
      <c r="C127" s="4"/>
      <c r="D127" s="18" t="s">
        <v>181</v>
      </c>
      <c r="E127" s="18" t="s">
        <v>182</v>
      </c>
      <c r="F127" s="18"/>
      <c r="G127" s="7"/>
      <c r="H127" s="4"/>
      <c r="I127" s="4"/>
      <c r="J127" s="8" t="str">
        <f t="shared" si="4"/>
        <v>=</v>
      </c>
      <c r="K127" s="20">
        <f>K123+K118*K84</f>
        <v>29.874499441272455</v>
      </c>
      <c r="L127" s="6" t="s">
        <v>152</v>
      </c>
      <c r="M127" s="4"/>
      <c r="N127" s="4"/>
    </row>
    <row r="128" spans="1:15">
      <c r="A128" s="4" t="s">
        <v>117</v>
      </c>
      <c r="B128" s="4"/>
      <c r="C128" s="4"/>
      <c r="D128" s="18" t="s">
        <v>183</v>
      </c>
      <c r="E128" s="45" t="s">
        <v>184</v>
      </c>
      <c r="F128" s="45"/>
      <c r="G128" s="45"/>
      <c r="H128" s="4"/>
      <c r="I128" s="4"/>
      <c r="J128" s="8" t="str">
        <f t="shared" si="4"/>
        <v>=</v>
      </c>
      <c r="K128" s="17">
        <f>K127/K84</f>
        <v>4.9790832402120762</v>
      </c>
      <c r="L128" s="6" t="s">
        <v>148</v>
      </c>
      <c r="M128" s="4"/>
      <c r="N128" s="4"/>
    </row>
    <row r="129" spans="1:14">
      <c r="A129" s="4" t="s">
        <v>58</v>
      </c>
      <c r="B129" s="4"/>
      <c r="C129" s="4"/>
      <c r="D129" s="18" t="s">
        <v>185</v>
      </c>
      <c r="E129" s="45" t="s">
        <v>158</v>
      </c>
      <c r="F129" s="45"/>
      <c r="G129" s="45"/>
      <c r="H129" s="4"/>
      <c r="I129" s="4"/>
      <c r="J129" s="8" t="str">
        <f t="shared" si="4"/>
        <v>=</v>
      </c>
      <c r="K129" s="19">
        <f>4*K123*(K84-K125)</f>
        <v>209.65407485757413</v>
      </c>
      <c r="L129" s="6" t="s">
        <v>156</v>
      </c>
      <c r="M129" s="4"/>
      <c r="N129" s="4"/>
    </row>
    <row r="130" spans="1:14" ht="15.6">
      <c r="A130" s="4" t="s">
        <v>59</v>
      </c>
      <c r="B130" s="4"/>
      <c r="C130" s="4"/>
      <c r="D130" s="18" t="s">
        <v>186</v>
      </c>
      <c r="E130" s="45" t="s">
        <v>187</v>
      </c>
      <c r="F130" s="45"/>
      <c r="G130" s="45"/>
      <c r="H130" s="45"/>
      <c r="I130" s="6" t="s">
        <v>252</v>
      </c>
      <c r="J130" s="8" t="str">
        <f t="shared" si="4"/>
        <v>=</v>
      </c>
      <c r="K130" s="20">
        <f>K129/(2*PI()*K84^2*K128)</f>
        <v>0.18615364818934879</v>
      </c>
      <c r="L130" s="6"/>
      <c r="M130" s="4"/>
      <c r="N130" s="4"/>
    </row>
    <row r="131" spans="1:14" ht="16.2">
      <c r="A131" s="4" t="s">
        <v>60</v>
      </c>
      <c r="B131" s="4"/>
      <c r="C131" s="4"/>
      <c r="D131" s="18" t="s">
        <v>254</v>
      </c>
      <c r="E131" s="18" t="s">
        <v>160</v>
      </c>
      <c r="F131" s="18"/>
      <c r="G131" s="7"/>
      <c r="H131" s="4"/>
      <c r="I131" s="6" t="s">
        <v>253</v>
      </c>
      <c r="J131" s="8" t="str">
        <f t="shared" si="4"/>
        <v>=</v>
      </c>
      <c r="K131" s="17">
        <f>K84/K97</f>
        <v>1.0593220338983051</v>
      </c>
      <c r="L131" s="6"/>
      <c r="M131" s="4"/>
      <c r="N131" s="4"/>
    </row>
    <row r="132" spans="1:14">
      <c r="A132" s="5" t="s">
        <v>61</v>
      </c>
      <c r="B132" s="5"/>
      <c r="C132" s="5"/>
      <c r="D132" s="5"/>
      <c r="E132" s="4"/>
      <c r="F132" s="4"/>
      <c r="G132" s="7"/>
      <c r="H132" s="4"/>
      <c r="I132" s="4"/>
      <c r="J132" s="8" t="str">
        <f t="shared" si="4"/>
        <v>=</v>
      </c>
      <c r="K132" s="6"/>
      <c r="L132" s="6"/>
      <c r="M132" s="4"/>
      <c r="N132" s="4"/>
    </row>
    <row r="133" spans="1:14">
      <c r="A133" s="4" t="s">
        <v>62</v>
      </c>
      <c r="B133" s="4"/>
      <c r="C133" s="4"/>
      <c r="D133" s="4"/>
      <c r="E133" s="4"/>
      <c r="F133" s="4"/>
      <c r="G133" s="4"/>
      <c r="H133" s="4"/>
      <c r="I133" s="4"/>
      <c r="J133" s="4"/>
      <c r="K133" s="6"/>
      <c r="L133" s="6"/>
      <c r="M133" s="4"/>
      <c r="N133" s="4"/>
    </row>
    <row r="134" spans="1:14">
      <c r="A134" s="4" t="s">
        <v>188</v>
      </c>
      <c r="B134" s="4"/>
      <c r="C134" s="4"/>
      <c r="D134" s="18" t="s">
        <v>189</v>
      </c>
      <c r="E134" s="45" t="s">
        <v>190</v>
      </c>
      <c r="F134" s="45"/>
      <c r="G134" s="45"/>
      <c r="H134" s="18" t="s">
        <v>191</v>
      </c>
      <c r="I134" s="4"/>
      <c r="J134" s="8" t="str">
        <f t="shared" si="4"/>
        <v>=</v>
      </c>
      <c r="K134" s="19">
        <f>K123+0.95*K118*K85</f>
        <v>48.491306277842533</v>
      </c>
      <c r="L134" s="6" t="s">
        <v>157</v>
      </c>
      <c r="M134" s="4"/>
      <c r="N134" s="4"/>
    </row>
    <row r="135" spans="1:14">
      <c r="A135" s="47" t="s">
        <v>192</v>
      </c>
      <c r="B135" s="47"/>
      <c r="C135" s="47"/>
      <c r="D135" s="18" t="s">
        <v>193</v>
      </c>
      <c r="E135" s="45" t="s">
        <v>194</v>
      </c>
      <c r="F135" s="45"/>
      <c r="G135" s="45"/>
      <c r="H135" s="46" t="s">
        <v>195</v>
      </c>
      <c r="I135" s="46"/>
      <c r="J135" s="8" t="str">
        <f t="shared" si="4"/>
        <v>=</v>
      </c>
      <c r="K135" s="17">
        <f>K134/K85</f>
        <v>4.0409421898202114</v>
      </c>
      <c r="L135" s="6" t="s">
        <v>146</v>
      </c>
      <c r="M135" s="4"/>
      <c r="N135" s="4"/>
    </row>
    <row r="136" spans="1:14">
      <c r="A136" s="4" t="s">
        <v>58</v>
      </c>
      <c r="B136" s="4"/>
      <c r="C136" s="4"/>
      <c r="D136" s="18" t="s">
        <v>196</v>
      </c>
      <c r="E136" s="45" t="s">
        <v>158</v>
      </c>
      <c r="F136" s="45"/>
      <c r="G136" s="45"/>
      <c r="H136" s="46" t="s">
        <v>197</v>
      </c>
      <c r="I136" s="46"/>
      <c r="J136" s="8" t="str">
        <f t="shared" si="4"/>
        <v>=</v>
      </c>
      <c r="K136" s="17">
        <f>4*K123*(K85-K125)</f>
        <v>430.19387913957763</v>
      </c>
      <c r="L136" s="6" t="s">
        <v>146</v>
      </c>
      <c r="M136" s="4"/>
      <c r="N136" s="4"/>
    </row>
    <row r="137" spans="1:14">
      <c r="A137" s="4" t="s">
        <v>59</v>
      </c>
      <c r="B137" s="4"/>
      <c r="C137" s="4"/>
      <c r="D137" s="18" t="s">
        <v>159</v>
      </c>
      <c r="E137" s="18" t="s">
        <v>187</v>
      </c>
      <c r="F137" s="18"/>
      <c r="G137" s="18"/>
      <c r="H137" s="18" t="s">
        <v>198</v>
      </c>
      <c r="I137" s="4"/>
      <c r="J137" s="8" t="str">
        <f t="shared" si="4"/>
        <v>=</v>
      </c>
      <c r="K137" s="20">
        <f>K136/(2*PI()*K85^2*K135)</f>
        <v>0.11766281355094933</v>
      </c>
      <c r="L137" s="6"/>
      <c r="M137" s="4"/>
      <c r="N137" s="4"/>
    </row>
    <row r="138" spans="1:14" ht="16.2">
      <c r="A138" s="4" t="s">
        <v>199</v>
      </c>
      <c r="B138" s="4"/>
      <c r="C138" s="4"/>
      <c r="D138" s="21" t="s">
        <v>255</v>
      </c>
      <c r="E138" s="18" t="s">
        <v>160</v>
      </c>
      <c r="F138" s="18"/>
      <c r="G138" s="18"/>
      <c r="H138" s="18"/>
      <c r="I138" s="4"/>
      <c r="J138" s="8" t="str">
        <f t="shared" si="4"/>
        <v>=</v>
      </c>
      <c r="K138" s="17">
        <f>K85/K97</f>
        <v>2.1186440677966103</v>
      </c>
      <c r="L138" s="6"/>
      <c r="M138" s="4"/>
      <c r="N138" s="4"/>
    </row>
    <row r="139" spans="1:14">
      <c r="A139" s="6" t="s">
        <v>63</v>
      </c>
      <c r="B139" s="6"/>
      <c r="C139" s="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>
      <c r="A140" s="4" t="s">
        <v>64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>
      <c r="A141" s="4" t="s">
        <v>65</v>
      </c>
      <c r="B141" s="4"/>
      <c r="C141" s="4"/>
      <c r="D141" s="5"/>
      <c r="E141" s="4"/>
      <c r="F141" s="4"/>
      <c r="G141" s="8" t="str">
        <f t="shared" ref="F141:J154" si="5">CONCATENATE("=")</f>
        <v>=</v>
      </c>
      <c r="H141" s="4"/>
      <c r="I141" s="4"/>
      <c r="J141" s="4"/>
      <c r="K141" s="4"/>
      <c r="L141" s="4"/>
      <c r="M141" s="4"/>
      <c r="N141" s="4"/>
    </row>
    <row r="142" spans="1:14">
      <c r="A142" s="5" t="s">
        <v>66</v>
      </c>
      <c r="B142" s="5"/>
      <c r="C142" s="5"/>
      <c r="D142" s="4"/>
      <c r="E142" s="4"/>
      <c r="F142" s="4"/>
      <c r="G142" s="8"/>
      <c r="H142" s="4"/>
      <c r="I142" s="4"/>
      <c r="J142" s="4"/>
      <c r="K142" s="4"/>
      <c r="L142" s="4"/>
      <c r="M142" s="4"/>
      <c r="N142" s="4"/>
    </row>
    <row r="143" spans="1:14">
      <c r="A143" s="4" t="s">
        <v>67</v>
      </c>
      <c r="B143" s="4"/>
      <c r="C143" s="4"/>
      <c r="D143" s="7"/>
      <c r="E143" s="15"/>
      <c r="F143" s="15"/>
      <c r="G143" s="7"/>
      <c r="H143" s="4"/>
      <c r="I143" s="15" t="s">
        <v>161</v>
      </c>
      <c r="J143" s="8">
        <v>0</v>
      </c>
      <c r="K143" s="4" t="s">
        <v>129</v>
      </c>
      <c r="L143" s="4" t="s">
        <v>118</v>
      </c>
      <c r="M143" s="21" t="s">
        <v>225</v>
      </c>
      <c r="N143" s="22">
        <v>0</v>
      </c>
    </row>
    <row r="144" spans="1:14" ht="15.6">
      <c r="A144" s="4" t="s">
        <v>200</v>
      </c>
      <c r="B144" s="4"/>
      <c r="C144" s="4"/>
      <c r="D144" s="4"/>
      <c r="E144" s="15" t="s">
        <v>226</v>
      </c>
      <c r="F144" s="45" t="s">
        <v>227</v>
      </c>
      <c r="G144" s="45"/>
      <c r="H144" s="45"/>
      <c r="I144" s="45"/>
      <c r="J144" s="15" t="s">
        <v>226</v>
      </c>
      <c r="K144" s="9">
        <v>0</v>
      </c>
      <c r="L144" s="4"/>
      <c r="M144" s="4"/>
      <c r="N144" s="4"/>
    </row>
    <row r="145" spans="1:14" ht="17.399999999999999">
      <c r="A145" s="4" t="s">
        <v>68</v>
      </c>
      <c r="B145" s="4"/>
      <c r="C145" s="4"/>
      <c r="D145" s="4"/>
      <c r="E145" s="14" t="s">
        <v>201</v>
      </c>
      <c r="F145" s="8" t="str">
        <f t="shared" si="5"/>
        <v>=</v>
      </c>
      <c r="G145" s="49" t="s">
        <v>224</v>
      </c>
      <c r="H145" s="49"/>
      <c r="I145" s="49"/>
      <c r="J145" s="8" t="str">
        <f t="shared" si="5"/>
        <v>=</v>
      </c>
      <c r="K145" s="9">
        <f>K71-K144</f>
        <v>6</v>
      </c>
      <c r="L145" s="4"/>
      <c r="M145" s="4"/>
      <c r="N145" s="4"/>
    </row>
    <row r="146" spans="1:14">
      <c r="A146" s="4" t="s">
        <v>202</v>
      </c>
      <c r="B146" s="4"/>
      <c r="C146" s="4"/>
      <c r="D146" s="4"/>
      <c r="E146" s="46" t="s">
        <v>228</v>
      </c>
      <c r="F146" s="46"/>
      <c r="G146" s="52" t="s">
        <v>203</v>
      </c>
      <c r="H146" s="52"/>
      <c r="I146" s="52"/>
      <c r="J146" s="8" t="str">
        <f t="shared" si="5"/>
        <v>=</v>
      </c>
      <c r="K146" s="33">
        <f>K105*K99*K145/(6*K103)*K114</f>
        <v>2569.4340398445024</v>
      </c>
      <c r="L146" s="4" t="s">
        <v>133</v>
      </c>
      <c r="M146" s="4"/>
      <c r="N146" s="4"/>
    </row>
    <row r="147" spans="1:14" ht="16.2">
      <c r="A147" s="4" t="s">
        <v>70</v>
      </c>
      <c r="B147" s="4"/>
      <c r="C147" s="4"/>
      <c r="D147" s="4"/>
      <c r="E147" s="46" t="s">
        <v>229</v>
      </c>
      <c r="F147" s="46"/>
      <c r="G147" s="45" t="s">
        <v>231</v>
      </c>
      <c r="H147" s="45"/>
      <c r="I147" s="45"/>
      <c r="J147" s="8" t="str">
        <f t="shared" si="5"/>
        <v>=</v>
      </c>
      <c r="K147" s="34">
        <f>PI()/(8)^0.5*K70*K103*(K98/K97)*K99*K114</f>
        <v>1554.1461689555081</v>
      </c>
      <c r="L147" s="6" t="s">
        <v>133</v>
      </c>
      <c r="M147" s="4"/>
      <c r="N147" s="4"/>
    </row>
    <row r="148" spans="1:14">
      <c r="A148" s="4" t="s">
        <v>71</v>
      </c>
      <c r="B148" s="4"/>
      <c r="C148" s="4"/>
      <c r="D148" s="4"/>
      <c r="E148" s="46" t="s">
        <v>230</v>
      </c>
      <c r="F148" s="46"/>
      <c r="G148" s="45" t="s">
        <v>232</v>
      </c>
      <c r="H148" s="45"/>
      <c r="I148" s="45"/>
      <c r="J148" s="8" t="str">
        <f t="shared" si="5"/>
        <v>=</v>
      </c>
      <c r="K148" s="34">
        <f>MIN(K146:K147)</f>
        <v>1554.1461689555081</v>
      </c>
      <c r="L148" s="4" t="s">
        <v>133</v>
      </c>
      <c r="M148" s="4"/>
      <c r="N148" s="4"/>
    </row>
    <row r="149" spans="1:14" ht="16.2">
      <c r="A149" s="4" t="s">
        <v>72</v>
      </c>
      <c r="B149" s="4"/>
      <c r="C149" s="4"/>
      <c r="D149" s="5"/>
      <c r="E149" s="14" t="s">
        <v>204</v>
      </c>
      <c r="F149" s="14"/>
      <c r="G149" s="14"/>
      <c r="H149" s="14"/>
      <c r="I149" s="4"/>
      <c r="J149" s="8" t="str">
        <f t="shared" si="5"/>
        <v>=</v>
      </c>
      <c r="K149" s="34">
        <f>K148/K87</f>
        <v>518.04872298516932</v>
      </c>
      <c r="L149" s="4" t="s">
        <v>133</v>
      </c>
      <c r="M149" s="4"/>
      <c r="N149" s="4"/>
    </row>
    <row r="150" spans="1:14">
      <c r="A150" s="5" t="s">
        <v>73</v>
      </c>
      <c r="B150" s="5"/>
      <c r="C150" s="5"/>
      <c r="D150" s="4"/>
      <c r="E150" s="4"/>
      <c r="F150" s="4"/>
      <c r="G150" s="7"/>
      <c r="H150" s="4"/>
      <c r="I150" s="4"/>
      <c r="J150" s="8" t="str">
        <f t="shared" si="5"/>
        <v>=</v>
      </c>
      <c r="K150" s="4"/>
      <c r="L150" s="4"/>
      <c r="M150" s="4"/>
      <c r="N150" s="4"/>
    </row>
    <row r="151" spans="1:14">
      <c r="A151" s="4" t="s">
        <v>74</v>
      </c>
      <c r="B151" s="4"/>
      <c r="C151" s="4"/>
      <c r="D151" s="16" t="s">
        <v>237</v>
      </c>
      <c r="E151" s="16">
        <v>12</v>
      </c>
      <c r="F151" s="16" t="s">
        <v>129</v>
      </c>
      <c r="G151" s="16"/>
      <c r="H151" s="16"/>
      <c r="J151" s="8" t="str">
        <f t="shared" si="5"/>
        <v>=</v>
      </c>
      <c r="K151" s="4" t="s">
        <v>118</v>
      </c>
      <c r="L151" s="6" t="s">
        <v>236</v>
      </c>
      <c r="M151" s="9">
        <v>0</v>
      </c>
      <c r="N151" s="4"/>
    </row>
    <row r="152" spans="1:14">
      <c r="A152" s="4" t="s">
        <v>75</v>
      </c>
      <c r="B152" s="4"/>
      <c r="C152" s="4"/>
      <c r="D152" s="15" t="s">
        <v>234</v>
      </c>
      <c r="E152" s="16" t="s">
        <v>235</v>
      </c>
      <c r="F152" s="16">
        <v>12</v>
      </c>
      <c r="G152" s="16" t="s">
        <v>129</v>
      </c>
      <c r="I152" s="16"/>
      <c r="J152" s="8" t="str">
        <f t="shared" si="5"/>
        <v>=</v>
      </c>
      <c r="K152" s="20">
        <f>K116</f>
        <v>0.31423988581546408</v>
      </c>
      <c r="L152" s="4"/>
      <c r="M152" s="23"/>
      <c r="N152" s="4"/>
    </row>
    <row r="153" spans="1:14" ht="17.399999999999999">
      <c r="A153" s="4" t="s">
        <v>205</v>
      </c>
      <c r="B153" s="4"/>
      <c r="C153" s="4"/>
      <c r="D153" s="10" t="s">
        <v>246</v>
      </c>
      <c r="E153" s="16" t="str">
        <f>CONCATENATE("=")</f>
        <v>=</v>
      </c>
      <c r="F153" s="48" t="s">
        <v>238</v>
      </c>
      <c r="G153" s="48"/>
      <c r="H153" s="48"/>
      <c r="I153" s="48"/>
      <c r="J153" s="8" t="str">
        <f t="shared" si="5"/>
        <v>=</v>
      </c>
      <c r="K153" s="17">
        <f>E151/K97+(K98^2*M151)/(2*K77*K97)</f>
        <v>2.1186440677966103</v>
      </c>
      <c r="L153" s="4"/>
      <c r="M153" s="4"/>
      <c r="N153" s="4"/>
    </row>
    <row r="154" spans="1:14" ht="17.399999999999999">
      <c r="A154" s="4" t="s">
        <v>76</v>
      </c>
      <c r="B154" s="4"/>
      <c r="C154" s="4"/>
      <c r="D154" s="10" t="s">
        <v>201</v>
      </c>
      <c r="E154" s="16" t="str">
        <f>CONCATENATE("=")</f>
        <v>=</v>
      </c>
      <c r="F154" s="49" t="s">
        <v>239</v>
      </c>
      <c r="G154" s="49"/>
      <c r="H154" s="49"/>
      <c r="I154" s="49"/>
      <c r="J154" s="13" t="str">
        <f t="shared" si="5"/>
        <v>=</v>
      </c>
      <c r="K154" s="17">
        <f>K71-K153</f>
        <v>3.8813559322033897</v>
      </c>
      <c r="L154" s="4"/>
      <c r="M154" s="4"/>
      <c r="N154" s="4"/>
    </row>
    <row r="155" spans="1:14">
      <c r="A155" s="6" t="s">
        <v>49</v>
      </c>
      <c r="B155" s="4"/>
      <c r="C155" s="4"/>
      <c r="D155" s="4"/>
      <c r="E155" s="4"/>
      <c r="F155" s="4"/>
      <c r="G155" s="7"/>
      <c r="H155" s="7"/>
      <c r="I155" s="7"/>
      <c r="J155" s="7"/>
      <c r="K155" s="7"/>
      <c r="L155" s="7"/>
      <c r="M155" s="7"/>
      <c r="N155" s="4"/>
    </row>
    <row r="156" spans="1:14">
      <c r="A156" s="47" t="s">
        <v>119</v>
      </c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"/>
    </row>
    <row r="157" spans="1:14">
      <c r="A157" s="4" t="s">
        <v>77</v>
      </c>
      <c r="B157" s="4"/>
      <c r="C157" s="4"/>
      <c r="D157" s="4"/>
      <c r="E157" s="4"/>
      <c r="F157" s="4"/>
      <c r="G157" s="7"/>
      <c r="H157" s="4"/>
      <c r="I157" s="4"/>
      <c r="J157" s="4"/>
      <c r="K157" s="4"/>
      <c r="M157" s="4"/>
      <c r="N157" s="4"/>
    </row>
    <row r="158" spans="1:14">
      <c r="A158" s="4" t="s">
        <v>69</v>
      </c>
      <c r="B158" s="4"/>
      <c r="C158" s="4"/>
      <c r="D158" s="4"/>
      <c r="E158" s="15" t="s">
        <v>240</v>
      </c>
      <c r="F158" s="15"/>
      <c r="G158" s="15"/>
      <c r="H158" s="15"/>
      <c r="I158" s="15" t="s">
        <v>241</v>
      </c>
      <c r="J158" s="8" t="str">
        <f t="shared" ref="J158:J194" si="6">CONCATENATE("=")</f>
        <v>=</v>
      </c>
      <c r="K158" s="30">
        <f>1.25*K105*K99*K154/(6*K103)*K152</f>
        <v>652.89150062733972</v>
      </c>
      <c r="L158" t="s">
        <v>133</v>
      </c>
      <c r="M158" s="4"/>
      <c r="N158" s="4"/>
    </row>
    <row r="159" spans="1:14">
      <c r="A159" s="4" t="s">
        <v>78</v>
      </c>
      <c r="B159" s="4"/>
      <c r="C159" s="4"/>
      <c r="D159" s="15" t="s">
        <v>242</v>
      </c>
      <c r="E159" s="15" t="s">
        <v>243</v>
      </c>
      <c r="F159" s="15"/>
      <c r="G159" s="15"/>
      <c r="H159" s="15"/>
      <c r="I159" s="3" t="s">
        <v>244</v>
      </c>
      <c r="J159" s="8" t="str">
        <f t="shared" si="6"/>
        <v>=</v>
      </c>
      <c r="K159" s="35">
        <f xml:space="preserve"> 1.25*PI()/(8)^0.5*K70*K103*(K98/K97)*K99*K152</f>
        <v>610.46839334139963</v>
      </c>
      <c r="L159" t="s">
        <v>133</v>
      </c>
      <c r="M159" s="4"/>
      <c r="N159" s="4"/>
    </row>
    <row r="160" spans="1:14" ht="15.6">
      <c r="A160" s="4" t="s">
        <v>71</v>
      </c>
      <c r="B160" s="4"/>
      <c r="C160" s="4"/>
      <c r="D160" s="6" t="s">
        <v>245</v>
      </c>
      <c r="E160" s="31"/>
      <c r="F160" s="50" t="s">
        <v>247</v>
      </c>
      <c r="G160" s="50"/>
      <c r="H160" s="50"/>
      <c r="I160" s="50"/>
      <c r="J160" s="8" t="str">
        <f t="shared" si="6"/>
        <v>=</v>
      </c>
      <c r="K160" s="34">
        <f>MIN(K158:K159)</f>
        <v>610.46839334139963</v>
      </c>
      <c r="L160" t="s">
        <v>133</v>
      </c>
      <c r="M160" s="4"/>
      <c r="N160" s="4"/>
    </row>
    <row r="161" spans="1:14" ht="16.2">
      <c r="A161" s="4" t="s">
        <v>79</v>
      </c>
      <c r="B161" s="4"/>
      <c r="C161" s="4"/>
      <c r="D161" s="4"/>
      <c r="E161" s="6" t="s">
        <v>245</v>
      </c>
      <c r="F161" s="6"/>
      <c r="G161" s="7" t="s">
        <v>248</v>
      </c>
      <c r="H161" s="4"/>
      <c r="I161" s="4"/>
      <c r="J161" s="8" t="str">
        <f t="shared" si="6"/>
        <v>=</v>
      </c>
      <c r="K161" s="32">
        <f>K160/K101</f>
        <v>1.7992418963268748</v>
      </c>
      <c r="M161" s="4"/>
      <c r="N161" s="13"/>
    </row>
    <row r="162" spans="1:14">
      <c r="A162" s="4"/>
      <c r="B162" s="4"/>
      <c r="C162" s="4"/>
      <c r="D162" s="4"/>
      <c r="E162" s="4"/>
      <c r="F162" s="4"/>
      <c r="G162" s="7"/>
      <c r="H162" s="4"/>
      <c r="I162" s="4"/>
      <c r="J162" s="8" t="str">
        <f t="shared" si="6"/>
        <v>=</v>
      </c>
      <c r="K162" s="4"/>
      <c r="M162" s="4"/>
      <c r="N162" s="4"/>
    </row>
    <row r="163" spans="1:14">
      <c r="A163" s="4"/>
      <c r="B163" s="4"/>
      <c r="C163" s="4"/>
      <c r="D163" s="4"/>
      <c r="E163" s="4"/>
      <c r="F163" s="4"/>
      <c r="G163" s="7"/>
      <c r="H163" s="4"/>
      <c r="I163" s="4"/>
      <c r="J163" s="8"/>
      <c r="K163" s="4"/>
      <c r="L163" s="8"/>
      <c r="M163" s="4"/>
      <c r="N163" s="4"/>
    </row>
    <row r="164" spans="1:14">
      <c r="A164" s="4"/>
      <c r="B164" s="4"/>
      <c r="C164" s="4"/>
      <c r="D164" s="4"/>
      <c r="E164" s="4"/>
      <c r="F164" s="4"/>
      <c r="G164" s="7"/>
      <c r="H164" s="4"/>
      <c r="I164" s="4"/>
      <c r="J164" s="4"/>
      <c r="K164" s="4"/>
      <c r="L164" s="8"/>
      <c r="M164" s="4"/>
      <c r="N164" s="4"/>
    </row>
    <row r="165" spans="1:14">
      <c r="A165" s="4"/>
      <c r="B165" s="4"/>
      <c r="C165" s="4"/>
      <c r="D165" s="4"/>
      <c r="E165" s="4"/>
      <c r="F165" s="4"/>
      <c r="G165" s="7"/>
      <c r="H165" s="4"/>
      <c r="I165" s="4"/>
      <c r="J165" s="4"/>
      <c r="K165" s="7"/>
      <c r="L165" s="8"/>
      <c r="M165" s="4"/>
      <c r="N165" s="4"/>
    </row>
    <row r="166" spans="1:14" ht="15.6">
      <c r="A166" s="24" t="s">
        <v>80</v>
      </c>
      <c r="B166" s="24"/>
      <c r="C166" s="4"/>
      <c r="D166" s="4"/>
      <c r="E166" s="4"/>
      <c r="F166" s="4"/>
      <c r="G166" s="7"/>
      <c r="H166" s="4"/>
      <c r="I166" s="4"/>
      <c r="J166" s="4"/>
      <c r="K166" s="7"/>
      <c r="L166" s="8"/>
      <c r="M166" s="4"/>
      <c r="N166" s="4"/>
    </row>
    <row r="167" spans="1:14">
      <c r="A167" s="5" t="s">
        <v>81</v>
      </c>
      <c r="B167" s="5"/>
      <c r="C167" s="6"/>
      <c r="D167" s="4"/>
      <c r="E167" s="4"/>
      <c r="F167" s="4"/>
      <c r="M167" s="4"/>
      <c r="N167" s="4"/>
    </row>
    <row r="168" spans="1:14">
      <c r="A168" s="4" t="s">
        <v>9</v>
      </c>
      <c r="B168" s="4"/>
      <c r="C168" s="4"/>
      <c r="D168" s="4"/>
      <c r="E168" s="4"/>
      <c r="F168" s="4"/>
      <c r="G168" s="4"/>
      <c r="H168" s="4"/>
      <c r="I168" s="4" t="s">
        <v>120</v>
      </c>
      <c r="J168" s="8" t="str">
        <f t="shared" si="6"/>
        <v>=</v>
      </c>
      <c r="K168" s="31">
        <f>K73</f>
        <v>22.5</v>
      </c>
      <c r="L168" s="31" t="s">
        <v>129</v>
      </c>
      <c r="M168" s="4"/>
      <c r="N168" s="4"/>
    </row>
    <row r="169" spans="1:14">
      <c r="A169" s="4" t="s">
        <v>10</v>
      </c>
      <c r="B169" s="4"/>
      <c r="C169" s="4"/>
      <c r="D169" s="4"/>
      <c r="E169" s="4"/>
      <c r="F169" s="4"/>
      <c r="G169" s="4"/>
      <c r="H169" s="4"/>
      <c r="I169" s="4" t="s">
        <v>121</v>
      </c>
      <c r="J169" s="8" t="str">
        <f t="shared" si="6"/>
        <v>=</v>
      </c>
      <c r="K169" s="31">
        <f>K74</f>
        <v>24</v>
      </c>
      <c r="L169" s="31" t="s">
        <v>129</v>
      </c>
      <c r="M169" s="4"/>
      <c r="N169" s="4"/>
    </row>
    <row r="170" spans="1:14">
      <c r="A170" s="4" t="s">
        <v>11</v>
      </c>
      <c r="B170" s="4"/>
      <c r="C170" s="4"/>
      <c r="D170" s="4"/>
      <c r="E170" s="4"/>
      <c r="F170" s="4"/>
      <c r="G170" s="4"/>
      <c r="H170" s="4"/>
      <c r="I170" s="4" t="s">
        <v>1</v>
      </c>
      <c r="J170" s="8" t="str">
        <f t="shared" si="6"/>
        <v>=</v>
      </c>
      <c r="K170" s="31">
        <f>K75</f>
        <v>3</v>
      </c>
      <c r="L170" s="31" t="s">
        <v>129</v>
      </c>
      <c r="M170" s="4"/>
      <c r="N170" s="4"/>
    </row>
    <row r="171" spans="1:14" ht="15.6">
      <c r="A171" s="4" t="s">
        <v>12</v>
      </c>
      <c r="B171" s="4"/>
      <c r="C171" s="4"/>
      <c r="D171" s="4"/>
      <c r="E171" s="4"/>
      <c r="F171" s="4"/>
      <c r="G171" s="4"/>
      <c r="H171" s="4"/>
      <c r="I171" s="23" t="s">
        <v>206</v>
      </c>
      <c r="J171" s="8" t="str">
        <f t="shared" si="6"/>
        <v>=</v>
      </c>
      <c r="K171" s="31">
        <f>K76</f>
        <v>0.1196</v>
      </c>
      <c r="L171" s="31" t="s">
        <v>129</v>
      </c>
      <c r="M171" s="4"/>
      <c r="N171" s="4"/>
    </row>
    <row r="172" spans="1:14" ht="15.6">
      <c r="A172" s="4" t="s">
        <v>83</v>
      </c>
      <c r="B172" s="4"/>
      <c r="C172" s="4"/>
      <c r="D172" s="4"/>
      <c r="E172" s="4"/>
      <c r="F172" s="4"/>
      <c r="G172" s="4"/>
      <c r="H172" s="4"/>
      <c r="I172" s="23" t="s">
        <v>207</v>
      </c>
      <c r="J172" s="8" t="str">
        <f t="shared" si="6"/>
        <v>=</v>
      </c>
      <c r="K172" s="31">
        <f>K77</f>
        <v>0.23599999999999999</v>
      </c>
      <c r="L172" s="31" t="s">
        <v>129</v>
      </c>
      <c r="M172" s="4"/>
      <c r="N172" s="4"/>
    </row>
    <row r="173" spans="1:14">
      <c r="A173" s="4" t="s">
        <v>13</v>
      </c>
      <c r="B173" s="4"/>
      <c r="C173" s="4"/>
      <c r="D173" s="4"/>
      <c r="E173" s="4"/>
      <c r="F173" s="4"/>
      <c r="G173" s="4"/>
      <c r="H173" s="4"/>
      <c r="I173" s="23" t="s">
        <v>0</v>
      </c>
      <c r="J173" s="8" t="str">
        <f t="shared" si="6"/>
        <v>=</v>
      </c>
      <c r="K173" s="31">
        <f>K78/25.4</f>
        <v>0.75000000000000011</v>
      </c>
      <c r="L173" s="31" t="s">
        <v>129</v>
      </c>
      <c r="M173" s="4"/>
      <c r="N173" s="4"/>
    </row>
    <row r="174" spans="1:14" ht="15.6">
      <c r="A174" s="4" t="s">
        <v>14</v>
      </c>
      <c r="B174" s="4"/>
      <c r="C174" s="4"/>
      <c r="D174" s="4"/>
      <c r="E174" s="4"/>
      <c r="F174" s="4"/>
      <c r="G174" s="4"/>
      <c r="H174" s="4"/>
      <c r="I174" s="23" t="s">
        <v>208</v>
      </c>
      <c r="J174" s="8" t="str">
        <f t="shared" si="6"/>
        <v>=</v>
      </c>
      <c r="K174" s="31">
        <f>K79</f>
        <v>1</v>
      </c>
      <c r="L174" s="31" t="s">
        <v>129</v>
      </c>
      <c r="M174" s="4"/>
      <c r="N174" s="4"/>
    </row>
    <row r="175" spans="1:14" ht="15.6">
      <c r="A175" s="4" t="s">
        <v>15</v>
      </c>
      <c r="B175" s="4"/>
      <c r="C175" s="4"/>
      <c r="D175" s="4"/>
      <c r="E175" s="4"/>
      <c r="F175" s="4"/>
      <c r="G175" s="4"/>
      <c r="H175" s="4"/>
      <c r="I175" s="23" t="s">
        <v>209</v>
      </c>
      <c r="J175" s="8" t="str">
        <f t="shared" si="6"/>
        <v>=</v>
      </c>
      <c r="K175" s="31">
        <f>K80</f>
        <v>1</v>
      </c>
      <c r="L175" s="31" t="s">
        <v>129</v>
      </c>
      <c r="M175" s="4"/>
      <c r="N175" s="4"/>
    </row>
    <row r="176" spans="1:14" ht="15.6">
      <c r="A176" s="4" t="s">
        <v>16</v>
      </c>
      <c r="B176" s="4"/>
      <c r="C176" s="4"/>
      <c r="D176" s="4"/>
      <c r="E176" s="4"/>
      <c r="F176" s="4"/>
      <c r="G176" s="4"/>
      <c r="H176" s="4"/>
      <c r="I176" s="23" t="s">
        <v>210</v>
      </c>
      <c r="J176" s="8" t="str">
        <f t="shared" si="6"/>
        <v>=</v>
      </c>
      <c r="K176" s="31">
        <f>K81</f>
        <v>1</v>
      </c>
      <c r="L176" s="31" t="s">
        <v>129</v>
      </c>
      <c r="M176" s="4"/>
      <c r="N176" s="4"/>
    </row>
    <row r="177" spans="1:14" ht="15.6">
      <c r="A177" s="4" t="s">
        <v>82</v>
      </c>
      <c r="B177" s="4"/>
      <c r="C177" s="4"/>
      <c r="D177" s="4"/>
      <c r="E177" s="4"/>
      <c r="F177" s="4"/>
      <c r="G177" s="4"/>
      <c r="H177" s="4"/>
      <c r="I177" s="23" t="s">
        <v>211</v>
      </c>
      <c r="J177" s="8" t="str">
        <f t="shared" si="6"/>
        <v>=</v>
      </c>
      <c r="K177" s="36">
        <f>K82/25.4</f>
        <v>12.4148</v>
      </c>
      <c r="L177" s="31" t="s">
        <v>129</v>
      </c>
      <c r="M177" s="4"/>
      <c r="N177" s="4"/>
    </row>
    <row r="178" spans="1:14">
      <c r="A178" s="5" t="s">
        <v>84</v>
      </c>
      <c r="B178" s="5"/>
      <c r="C178" s="4"/>
      <c r="D178" s="4"/>
      <c r="E178" s="4"/>
      <c r="F178" s="4"/>
      <c r="G178" s="4"/>
      <c r="H178" s="4"/>
      <c r="I178" s="4"/>
      <c r="J178" s="8" t="str">
        <f t="shared" si="6"/>
        <v>=</v>
      </c>
      <c r="K178" s="31"/>
      <c r="L178" s="31"/>
      <c r="M178" s="4"/>
      <c r="N178" s="4"/>
    </row>
    <row r="179" spans="1:14">
      <c r="A179" s="4" t="s">
        <v>85</v>
      </c>
      <c r="B179" s="4"/>
      <c r="C179" s="4"/>
      <c r="D179" s="4"/>
      <c r="E179" s="4"/>
      <c r="F179" s="4"/>
      <c r="G179" s="4"/>
      <c r="H179" s="4"/>
      <c r="I179" s="4" t="s">
        <v>212</v>
      </c>
      <c r="J179" s="8" t="str">
        <f t="shared" si="6"/>
        <v>=</v>
      </c>
      <c r="K179" s="37">
        <f>K84</f>
        <v>6</v>
      </c>
      <c r="L179" s="31" t="s">
        <v>129</v>
      </c>
      <c r="M179" s="4"/>
      <c r="N179" s="4"/>
    </row>
    <row r="180" spans="1:14">
      <c r="A180" s="4" t="s">
        <v>86</v>
      </c>
      <c r="B180" s="4"/>
      <c r="C180" s="4"/>
      <c r="D180" s="4"/>
      <c r="E180" s="4"/>
      <c r="F180" s="4"/>
      <c r="G180" s="4"/>
      <c r="H180" s="4"/>
      <c r="I180" s="4" t="s">
        <v>213</v>
      </c>
      <c r="J180" s="8" t="str">
        <f t="shared" si="6"/>
        <v>=</v>
      </c>
      <c r="K180" s="37">
        <f>K85</f>
        <v>12</v>
      </c>
      <c r="L180" s="31" t="s">
        <v>129</v>
      </c>
      <c r="M180" s="4"/>
      <c r="N180" s="4"/>
    </row>
    <row r="181" spans="1:14">
      <c r="A181" s="4" t="s">
        <v>87</v>
      </c>
      <c r="B181" s="4"/>
      <c r="C181" s="4"/>
      <c r="D181" s="4"/>
      <c r="E181" s="4"/>
      <c r="F181" s="4"/>
      <c r="G181" s="4"/>
      <c r="H181" s="4"/>
      <c r="I181" s="4" t="s">
        <v>114</v>
      </c>
      <c r="J181" s="8" t="str">
        <f t="shared" si="6"/>
        <v>=</v>
      </c>
      <c r="K181" s="38">
        <f>K118</f>
        <v>3.4475568215870518</v>
      </c>
      <c r="L181" s="31" t="s">
        <v>148</v>
      </c>
      <c r="M181" s="4">
        <f>K181*4.44822*(100/2.54)</f>
        <v>603.75949625669125</v>
      </c>
      <c r="N181" s="23" t="s">
        <v>267</v>
      </c>
    </row>
    <row r="182" spans="1:14">
      <c r="A182" s="4" t="s">
        <v>51</v>
      </c>
      <c r="B182" s="4"/>
      <c r="C182" s="4"/>
      <c r="D182" s="4"/>
      <c r="E182" s="4"/>
      <c r="F182" s="4"/>
      <c r="G182" s="4"/>
      <c r="H182" s="4"/>
      <c r="I182" s="4" t="s">
        <v>122</v>
      </c>
      <c r="J182" s="8" t="str">
        <f t="shared" si="6"/>
        <v>=</v>
      </c>
      <c r="K182" s="38">
        <f>K122</f>
        <v>34.475568215870517</v>
      </c>
      <c r="L182" s="31" t="s">
        <v>148</v>
      </c>
      <c r="M182" s="4">
        <f>K182*4.44822*(100/2.54)</f>
        <v>6037.5949625669118</v>
      </c>
      <c r="N182" s="23" t="s">
        <v>267</v>
      </c>
    </row>
    <row r="183" spans="1:14">
      <c r="A183" s="4" t="s">
        <v>88</v>
      </c>
      <c r="B183" s="4"/>
      <c r="C183" s="4"/>
      <c r="D183" s="4"/>
      <c r="E183" s="4"/>
      <c r="F183" s="4"/>
      <c r="G183" s="4"/>
      <c r="H183" s="4"/>
      <c r="I183" s="4" t="s">
        <v>115</v>
      </c>
      <c r="J183" s="8" t="str">
        <f t="shared" si="6"/>
        <v>=</v>
      </c>
      <c r="K183" s="37">
        <f>K123</f>
        <v>9.1891585117501453</v>
      </c>
      <c r="L183" s="31" t="s">
        <v>133</v>
      </c>
      <c r="M183" s="4">
        <f>K183*4.44822</f>
        <v>40.875398675137234</v>
      </c>
      <c r="N183" s="23" t="s">
        <v>268</v>
      </c>
    </row>
    <row r="184" spans="1:14">
      <c r="A184" s="4" t="s">
        <v>53</v>
      </c>
      <c r="B184" s="4"/>
      <c r="C184" s="4"/>
      <c r="D184" s="4"/>
      <c r="E184" s="4"/>
      <c r="F184" s="4"/>
      <c r="G184" s="4"/>
      <c r="H184" s="4"/>
      <c r="I184" s="4" t="s">
        <v>116</v>
      </c>
      <c r="J184" s="8" t="str">
        <f t="shared" si="6"/>
        <v>=</v>
      </c>
      <c r="K184" s="37">
        <f>K124</f>
        <v>10.210176124166829</v>
      </c>
      <c r="L184" s="31" t="s">
        <v>133</v>
      </c>
      <c r="M184" s="4">
        <f>K184*4.44822</f>
        <v>45.417109639041371</v>
      </c>
      <c r="N184" s="23" t="s">
        <v>268</v>
      </c>
    </row>
    <row r="185" spans="1:14">
      <c r="A185" s="4" t="s">
        <v>89</v>
      </c>
      <c r="B185" s="4"/>
      <c r="C185" s="4"/>
      <c r="D185" s="4"/>
      <c r="E185" s="4"/>
      <c r="F185" s="4"/>
      <c r="G185" s="4"/>
      <c r="H185" s="4"/>
      <c r="I185" s="4" t="s">
        <v>214</v>
      </c>
      <c r="J185" s="8" t="str">
        <f t="shared" si="6"/>
        <v>=</v>
      </c>
      <c r="K185" s="38">
        <f>K125</f>
        <v>0.296156862745098</v>
      </c>
      <c r="L185" s="31" t="s">
        <v>129</v>
      </c>
      <c r="M185" s="4"/>
      <c r="N185" s="4"/>
    </row>
    <row r="186" spans="1:14">
      <c r="A186" s="4" t="s">
        <v>90</v>
      </c>
      <c r="B186" s="4"/>
      <c r="C186" s="4"/>
      <c r="D186" s="4"/>
      <c r="E186" s="4"/>
      <c r="F186" s="4"/>
      <c r="G186" s="4"/>
      <c r="H186" s="4"/>
      <c r="I186" s="4" t="s">
        <v>113</v>
      </c>
      <c r="J186" s="40" t="str">
        <f t="shared" si="6"/>
        <v>=</v>
      </c>
      <c r="K186" s="35">
        <f>K107</f>
        <v>6292.9059549607682</v>
      </c>
      <c r="L186" s="31" t="str">
        <f>L107</f>
        <v>kip/in</v>
      </c>
      <c r="M186" s="4">
        <f>K186*4.44822*(100/2.54)</f>
        <v>1102056.3042116375</v>
      </c>
      <c r="N186" s="23" t="s">
        <v>267</v>
      </c>
    </row>
    <row r="187" spans="1:14">
      <c r="A187" s="4" t="s">
        <v>56</v>
      </c>
      <c r="B187" s="4"/>
      <c r="C187" s="4"/>
      <c r="D187" s="4"/>
      <c r="E187" s="4"/>
      <c r="F187" s="4"/>
      <c r="G187" s="4"/>
      <c r="H187" s="4"/>
      <c r="I187" s="4" t="s">
        <v>215</v>
      </c>
      <c r="J187" s="8" t="str">
        <f t="shared" si="6"/>
        <v>=</v>
      </c>
      <c r="K187" s="36">
        <f>K127</f>
        <v>29.874499441272455</v>
      </c>
      <c r="L187" s="31" t="s">
        <v>133</v>
      </c>
      <c r="M187" s="4"/>
      <c r="N187" s="4"/>
    </row>
    <row r="188" spans="1:14">
      <c r="A188" s="4" t="s">
        <v>91</v>
      </c>
      <c r="B188" s="4"/>
      <c r="C188" s="4"/>
      <c r="D188" s="4"/>
      <c r="E188" s="4"/>
      <c r="F188" s="4"/>
      <c r="G188" s="4"/>
      <c r="H188" s="4"/>
      <c r="I188" s="4" t="s">
        <v>216</v>
      </c>
      <c r="J188" s="8" t="str">
        <f t="shared" si="6"/>
        <v>=</v>
      </c>
      <c r="K188" s="38">
        <f>K128</f>
        <v>4.9790832402120762</v>
      </c>
      <c r="L188" s="31" t="s">
        <v>148</v>
      </c>
      <c r="M188" s="4">
        <f>K188*4.44822*(100/2.54)</f>
        <v>871.97077365260486</v>
      </c>
      <c r="N188" s="23" t="s">
        <v>267</v>
      </c>
    </row>
    <row r="189" spans="1:14">
      <c r="A189" s="4" t="s">
        <v>92</v>
      </c>
      <c r="B189" s="4"/>
      <c r="C189" s="4"/>
      <c r="D189" s="4"/>
      <c r="E189" s="4"/>
      <c r="F189" s="4"/>
      <c r="G189" s="4"/>
      <c r="H189" s="4"/>
      <c r="I189" s="4" t="s">
        <v>217</v>
      </c>
      <c r="J189" s="8" t="str">
        <f t="shared" si="6"/>
        <v>=</v>
      </c>
      <c r="K189" s="37">
        <f>K129</f>
        <v>209.65407485757413</v>
      </c>
      <c r="L189" s="31" t="s">
        <v>156</v>
      </c>
      <c r="M189" s="4"/>
      <c r="N189" s="4"/>
    </row>
    <row r="190" spans="1:14" ht="15.6">
      <c r="A190" s="4" t="s">
        <v>93</v>
      </c>
      <c r="B190" s="4"/>
      <c r="C190" s="4"/>
      <c r="D190" s="4"/>
      <c r="E190" s="4"/>
      <c r="F190" s="4"/>
      <c r="G190" s="4"/>
      <c r="H190" s="4"/>
      <c r="I190" s="6" t="s">
        <v>252</v>
      </c>
      <c r="J190" s="8" t="str">
        <f t="shared" si="6"/>
        <v>=</v>
      </c>
      <c r="K190" s="36">
        <f>K130</f>
        <v>0.18615364818934879</v>
      </c>
      <c r="L190" s="31"/>
      <c r="M190" s="4"/>
      <c r="N190" s="4"/>
    </row>
    <row r="191" spans="1:14" ht="15.6">
      <c r="A191" s="4" t="s">
        <v>94</v>
      </c>
      <c r="B191" s="4"/>
      <c r="C191" s="4"/>
      <c r="D191" s="4"/>
      <c r="E191" s="4"/>
      <c r="F191" s="4"/>
      <c r="G191" s="4"/>
      <c r="H191" s="4"/>
      <c r="I191" s="6" t="s">
        <v>253</v>
      </c>
      <c r="J191" s="8" t="str">
        <f t="shared" si="6"/>
        <v>=</v>
      </c>
      <c r="K191" s="38">
        <f>K131</f>
        <v>1.0593220338983051</v>
      </c>
      <c r="L191" s="31"/>
      <c r="M191" s="4"/>
      <c r="N191" s="4"/>
    </row>
    <row r="192" spans="1:14" ht="15.6">
      <c r="A192" s="4" t="s">
        <v>95</v>
      </c>
      <c r="B192" s="4"/>
      <c r="C192" s="4"/>
      <c r="D192" s="4"/>
      <c r="E192" s="4"/>
      <c r="F192" s="4"/>
      <c r="G192" s="4"/>
      <c r="H192" s="4"/>
      <c r="I192" s="6" t="s">
        <v>256</v>
      </c>
      <c r="J192" s="8" t="str">
        <f t="shared" si="6"/>
        <v>=</v>
      </c>
      <c r="K192" s="38">
        <f>K138</f>
        <v>2.1186440677966103</v>
      </c>
      <c r="L192" s="31"/>
      <c r="M192" s="4"/>
      <c r="N192" s="4"/>
    </row>
    <row r="193" spans="1:14">
      <c r="A193" s="4" t="s">
        <v>96</v>
      </c>
      <c r="B193" s="4"/>
      <c r="C193" s="4"/>
      <c r="D193" s="4"/>
      <c r="E193" s="4"/>
      <c r="F193" s="4"/>
      <c r="G193" s="13" t="s">
        <v>218</v>
      </c>
      <c r="H193" s="13"/>
      <c r="I193" s="13"/>
      <c r="J193" s="8" t="str">
        <f t="shared" si="6"/>
        <v>=</v>
      </c>
      <c r="K193" s="35">
        <f>K149</f>
        <v>518.04872298516932</v>
      </c>
      <c r="L193" s="31" t="s">
        <v>133</v>
      </c>
      <c r="M193" s="4">
        <f>K193*4.44822</f>
        <v>2304.3946905570897</v>
      </c>
      <c r="N193" s="4" t="s">
        <v>268</v>
      </c>
    </row>
    <row r="194" spans="1:14">
      <c r="A194" s="4" t="s">
        <v>97</v>
      </c>
      <c r="B194" s="4"/>
      <c r="C194" s="4"/>
      <c r="D194" s="4"/>
      <c r="E194" s="4"/>
      <c r="F194" s="4"/>
      <c r="G194" s="13" t="s">
        <v>219</v>
      </c>
      <c r="H194" s="13"/>
      <c r="I194" s="13"/>
      <c r="J194" s="8" t="str">
        <f t="shared" si="6"/>
        <v>=</v>
      </c>
      <c r="K194" s="34">
        <f>K160</f>
        <v>610.46839334139963</v>
      </c>
      <c r="L194" s="6" t="s">
        <v>133</v>
      </c>
      <c r="M194" s="4">
        <f>K194*4.44822</f>
        <v>2715.4977166290805</v>
      </c>
      <c r="N194" s="4" t="s">
        <v>268</v>
      </c>
    </row>
    <row r="195" spans="1: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>
      <c r="A196" s="4"/>
      <c r="B196" s="4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</row>
    <row r="374" spans="1:14">
      <c r="A374" s="1"/>
      <c r="B374" s="1"/>
      <c r="C374" s="1"/>
    </row>
  </sheetData>
  <mergeCells count="39">
    <mergeCell ref="A135:C135"/>
    <mergeCell ref="A1:N1"/>
    <mergeCell ref="E99:F99"/>
    <mergeCell ref="E100:F100"/>
    <mergeCell ref="E101:F101"/>
    <mergeCell ref="E102:F102"/>
    <mergeCell ref="D82:I82"/>
    <mergeCell ref="E84:I84"/>
    <mergeCell ref="E85:I85"/>
    <mergeCell ref="D95:I95"/>
    <mergeCell ref="D25:J25"/>
    <mergeCell ref="E65:I65"/>
    <mergeCell ref="F160:I160"/>
    <mergeCell ref="E104:F104"/>
    <mergeCell ref="G105:I105"/>
    <mergeCell ref="G106:J106"/>
    <mergeCell ref="E107:G107"/>
    <mergeCell ref="F144:I144"/>
    <mergeCell ref="G145:I145"/>
    <mergeCell ref="E130:H130"/>
    <mergeCell ref="E128:G128"/>
    <mergeCell ref="E129:G129"/>
    <mergeCell ref="F114:J114"/>
    <mergeCell ref="E146:F146"/>
    <mergeCell ref="E147:F147"/>
    <mergeCell ref="E148:F148"/>
    <mergeCell ref="G148:I148"/>
    <mergeCell ref="G146:I146"/>
    <mergeCell ref="E136:G136"/>
    <mergeCell ref="H136:I136"/>
    <mergeCell ref="A156:M156"/>
    <mergeCell ref="F153:I153"/>
    <mergeCell ref="F154:I154"/>
    <mergeCell ref="G147:I147"/>
    <mergeCell ref="F22:H22"/>
    <mergeCell ref="F64:H64"/>
    <mergeCell ref="E134:G134"/>
    <mergeCell ref="E135:G135"/>
    <mergeCell ref="H135:I13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74"/>
  <sheetViews>
    <sheetView topLeftCell="A166" workbookViewId="0">
      <selection activeCell="U173" sqref="U173"/>
    </sheetView>
  </sheetViews>
  <sheetFormatPr defaultRowHeight="14.4"/>
  <cols>
    <col min="6" max="6" width="9.109375" customWidth="1"/>
    <col min="9" max="10" width="10" customWidth="1"/>
    <col min="11" max="11" width="9" customWidth="1"/>
  </cols>
  <sheetData>
    <row r="1" spans="1:14" ht="17.399999999999999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>
      <c r="A2" s="7"/>
      <c r="B2" s="7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5.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3" t="s">
        <v>257</v>
      </c>
      <c r="N5" s="12"/>
    </row>
    <row r="6" spans="1:14" ht="15.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23" t="s">
        <v>258</v>
      </c>
      <c r="N6" s="12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3" t="s">
        <v>106</v>
      </c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5.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23" t="s">
        <v>209</v>
      </c>
      <c r="N19" s="12"/>
    </row>
    <row r="20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5.6">
      <c r="A22" s="12"/>
      <c r="B22" s="12"/>
      <c r="C22" s="12"/>
      <c r="D22" s="12"/>
      <c r="E22" s="12"/>
      <c r="F22" s="43" t="s">
        <v>269</v>
      </c>
      <c r="G22" s="43"/>
      <c r="H22" s="43"/>
      <c r="I22" s="12"/>
      <c r="J22" s="12"/>
      <c r="K22" s="12"/>
      <c r="L22" s="12"/>
      <c r="M22" s="12"/>
      <c r="N22" s="12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5.6">
      <c r="A25" s="7"/>
      <c r="B25" s="7"/>
      <c r="C25" s="7"/>
      <c r="D25" s="55" t="s">
        <v>259</v>
      </c>
      <c r="E25" s="55"/>
      <c r="F25" s="55"/>
      <c r="G25" s="55"/>
      <c r="H25" s="55"/>
      <c r="I25" s="55"/>
      <c r="J25" s="55"/>
      <c r="K25" s="7"/>
      <c r="L25" s="7"/>
      <c r="M25" s="7"/>
      <c r="N25" s="7"/>
    </row>
    <row r="26" spans="1:1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>
      <c r="A38" s="7"/>
      <c r="B38" s="7"/>
      <c r="C38" s="12"/>
      <c r="D38" s="12"/>
      <c r="E38" s="12"/>
      <c r="F38" s="12"/>
      <c r="G38" s="12"/>
      <c r="H38" s="12"/>
      <c r="I38" s="12"/>
      <c r="J38" s="12"/>
      <c r="K38" s="12"/>
      <c r="L38" s="7"/>
      <c r="M38" s="7"/>
      <c r="N38" s="7"/>
    </row>
    <row r="39" spans="1:14" ht="15.6">
      <c r="A39" s="7"/>
      <c r="B39" s="7"/>
      <c r="C39" s="12"/>
      <c r="D39" s="12"/>
      <c r="E39" s="12"/>
      <c r="F39" s="12"/>
      <c r="G39" s="12"/>
      <c r="H39" s="12"/>
      <c r="I39" s="12"/>
      <c r="J39" s="29" t="s">
        <v>0</v>
      </c>
      <c r="K39" s="12"/>
      <c r="L39" s="7"/>
      <c r="M39" s="7"/>
      <c r="N39" s="7"/>
    </row>
    <row r="40" spans="1:14">
      <c r="A40" s="7"/>
      <c r="B40" s="7"/>
      <c r="C40" s="12"/>
      <c r="D40" s="12"/>
      <c r="E40" s="12"/>
      <c r="F40" s="12"/>
      <c r="G40" s="12"/>
      <c r="H40" s="12"/>
      <c r="I40" s="12"/>
      <c r="J40" s="12"/>
      <c r="K40" s="12"/>
      <c r="L40" s="7"/>
      <c r="M40" s="7"/>
      <c r="N40" s="7"/>
    </row>
    <row r="41" spans="1:14">
      <c r="A41" s="7"/>
      <c r="B41" s="7"/>
      <c r="C41" s="12"/>
      <c r="D41" s="12"/>
      <c r="E41" s="12"/>
      <c r="F41" s="12"/>
      <c r="G41" s="12"/>
      <c r="H41" s="12"/>
      <c r="I41" s="12"/>
      <c r="J41" s="12"/>
      <c r="K41" s="12"/>
      <c r="L41" s="7"/>
      <c r="M41" s="7"/>
      <c r="N41" s="7"/>
    </row>
    <row r="42" spans="1:14">
      <c r="A42" s="7"/>
      <c r="B42" s="7"/>
      <c r="C42" s="12"/>
      <c r="D42" s="12"/>
      <c r="E42" s="12"/>
      <c r="F42" s="12"/>
      <c r="G42" s="12"/>
      <c r="H42" s="12"/>
      <c r="I42" s="12"/>
      <c r="J42" s="12"/>
      <c r="K42" s="12"/>
      <c r="L42" s="7"/>
      <c r="M42" s="7"/>
      <c r="N42" s="7"/>
    </row>
    <row r="43" spans="1:14">
      <c r="A43" s="7"/>
      <c r="B43" s="7"/>
      <c r="C43" s="12"/>
      <c r="D43" s="12"/>
      <c r="E43" s="12"/>
      <c r="F43" s="12"/>
      <c r="G43" s="12"/>
      <c r="H43" s="12"/>
      <c r="I43" s="12"/>
      <c r="J43" s="12"/>
      <c r="K43" s="12"/>
      <c r="L43" s="7"/>
      <c r="M43" s="7"/>
      <c r="N43" s="7"/>
    </row>
    <row r="44" spans="1:14">
      <c r="A44" s="7"/>
      <c r="B44" s="7"/>
      <c r="C44" s="12"/>
      <c r="D44" s="12"/>
      <c r="E44" s="12"/>
      <c r="F44" s="12"/>
      <c r="G44" s="12"/>
      <c r="H44" s="12"/>
      <c r="I44" s="12"/>
      <c r="J44" s="12"/>
      <c r="K44" s="12"/>
      <c r="L44" s="7"/>
      <c r="M44" s="7"/>
      <c r="N44" s="7"/>
    </row>
    <row r="45" spans="1:14">
      <c r="A45" s="7"/>
      <c r="B45" s="7"/>
      <c r="C45" s="12"/>
      <c r="D45" s="12"/>
      <c r="E45" s="12"/>
      <c r="F45" s="12"/>
      <c r="G45" s="12"/>
      <c r="H45" s="12"/>
      <c r="I45" s="12"/>
      <c r="J45" s="12"/>
      <c r="K45" s="12"/>
      <c r="L45" s="7"/>
      <c r="M45" s="7"/>
      <c r="N45" s="7"/>
    </row>
    <row r="46" spans="1:14">
      <c r="A46" s="7"/>
      <c r="B46" s="7"/>
      <c r="C46" s="12"/>
      <c r="D46" s="12"/>
      <c r="E46" s="12"/>
      <c r="F46" s="12"/>
      <c r="G46" s="12"/>
      <c r="H46" s="12"/>
      <c r="I46" s="12"/>
      <c r="J46" s="12"/>
      <c r="K46" s="12"/>
      <c r="L46" s="7"/>
      <c r="M46" s="7"/>
      <c r="N46" s="7"/>
    </row>
    <row r="47" spans="1:14">
      <c r="A47" s="7"/>
      <c r="B47" s="7"/>
      <c r="C47" s="12"/>
      <c r="D47" s="12"/>
      <c r="E47" s="12"/>
      <c r="F47" s="12"/>
      <c r="G47" s="12"/>
      <c r="H47" s="12"/>
      <c r="I47" s="12"/>
      <c r="J47" s="12"/>
      <c r="K47" s="12"/>
      <c r="L47" s="7"/>
      <c r="M47" s="7"/>
      <c r="N47" s="7"/>
    </row>
    <row r="48" spans="1:14">
      <c r="A48" s="7"/>
      <c r="B48" s="7"/>
      <c r="C48" s="12"/>
      <c r="D48" s="12"/>
      <c r="E48" s="12"/>
      <c r="F48" s="12"/>
      <c r="G48" s="12"/>
      <c r="H48" s="12"/>
      <c r="I48" s="12"/>
      <c r="J48" s="12"/>
      <c r="K48" s="12"/>
      <c r="L48" s="7"/>
      <c r="M48" s="7"/>
      <c r="N48" s="7"/>
    </row>
    <row r="49" spans="1:14">
      <c r="A49" s="7"/>
      <c r="B49" s="7"/>
      <c r="C49" s="12"/>
      <c r="D49" s="12"/>
      <c r="E49" s="12"/>
      <c r="F49" s="12"/>
      <c r="G49" s="12"/>
      <c r="H49" s="12"/>
      <c r="I49" s="12"/>
      <c r="J49" s="12"/>
      <c r="K49" s="12"/>
      <c r="L49" s="7"/>
      <c r="M49" s="7"/>
      <c r="N49" s="7"/>
    </row>
    <row r="50" spans="1:14">
      <c r="A50" s="7"/>
      <c r="B50" s="7"/>
      <c r="C50" s="12"/>
      <c r="D50" s="12"/>
      <c r="E50" s="12"/>
      <c r="F50" s="12"/>
      <c r="G50" s="12"/>
      <c r="H50" s="12"/>
      <c r="I50" s="12"/>
      <c r="J50" s="12"/>
      <c r="K50" s="12"/>
      <c r="L50" s="7"/>
      <c r="M50" s="7"/>
      <c r="N50" s="7"/>
    </row>
    <row r="51" spans="1:14">
      <c r="A51" s="7"/>
      <c r="B51" s="7"/>
      <c r="C51" s="12"/>
      <c r="D51" s="12"/>
      <c r="E51" s="12"/>
      <c r="F51" s="12"/>
      <c r="G51" s="12"/>
      <c r="H51" s="12"/>
      <c r="I51" s="12"/>
      <c r="J51" s="12"/>
      <c r="K51" s="12"/>
      <c r="L51" s="7"/>
      <c r="M51" s="7"/>
      <c r="N51" s="7"/>
    </row>
    <row r="52" spans="1:14" ht="15.6">
      <c r="A52" s="7"/>
      <c r="B52" s="7"/>
      <c r="C52" s="12"/>
      <c r="D52" s="12"/>
      <c r="E52" s="12"/>
      <c r="F52" s="12"/>
      <c r="G52" s="39" t="s">
        <v>1</v>
      </c>
      <c r="H52" s="12"/>
      <c r="I52" s="12"/>
      <c r="J52" s="12"/>
      <c r="K52" s="12"/>
      <c r="L52" s="7"/>
      <c r="M52" s="7"/>
      <c r="N52" s="7"/>
    </row>
    <row r="53" spans="1:14">
      <c r="A53" s="7"/>
      <c r="B53" s="7"/>
      <c r="C53" s="12"/>
      <c r="D53" s="12"/>
      <c r="E53" s="12"/>
      <c r="F53" s="12"/>
      <c r="G53" s="12"/>
      <c r="H53" s="12"/>
      <c r="I53" s="12"/>
      <c r="J53" s="12"/>
      <c r="K53" s="12"/>
      <c r="L53" s="7"/>
      <c r="M53" s="7"/>
      <c r="N53" s="7"/>
    </row>
    <row r="54" spans="1:14">
      <c r="A54" s="7"/>
      <c r="B54" s="7"/>
      <c r="C54" s="12"/>
      <c r="D54" s="12"/>
      <c r="E54" s="12"/>
      <c r="F54" s="12"/>
      <c r="G54" s="12"/>
      <c r="H54" s="12"/>
      <c r="I54" s="12"/>
      <c r="J54" s="12"/>
      <c r="K54" s="12"/>
      <c r="L54" s="7"/>
      <c r="M54" s="7"/>
      <c r="N54" s="7"/>
    </row>
    <row r="55" spans="1:14">
      <c r="A55" s="7"/>
      <c r="B55" s="7"/>
      <c r="C55" s="12"/>
      <c r="D55" s="12"/>
      <c r="E55" s="12"/>
      <c r="F55" s="12"/>
      <c r="G55" s="12"/>
      <c r="H55" s="12"/>
      <c r="I55" s="12"/>
      <c r="J55" s="12"/>
      <c r="K55" s="12"/>
      <c r="L55" s="7"/>
      <c r="M55" s="7"/>
      <c r="N55" s="7"/>
    </row>
    <row r="56" spans="1:14">
      <c r="A56" s="7"/>
      <c r="B56" s="7"/>
      <c r="C56" s="12"/>
      <c r="D56" s="12"/>
      <c r="E56" s="12"/>
      <c r="F56" s="12"/>
      <c r="G56" s="12"/>
      <c r="H56" s="12"/>
      <c r="I56" s="12"/>
      <c r="J56" s="12"/>
      <c r="K56" s="12"/>
      <c r="L56" s="7"/>
      <c r="M56" s="7"/>
      <c r="N56" s="7"/>
    </row>
    <row r="57" spans="1:14">
      <c r="A57" s="7"/>
      <c r="B57" s="7"/>
      <c r="C57" s="12"/>
      <c r="D57" s="12"/>
      <c r="E57" s="12"/>
      <c r="F57" s="12"/>
      <c r="G57" s="12"/>
      <c r="H57" s="12"/>
      <c r="I57" s="12"/>
      <c r="J57" s="12"/>
      <c r="K57" s="12"/>
      <c r="L57" s="7"/>
      <c r="M57" s="7"/>
      <c r="N57" s="7"/>
    </row>
    <row r="58" spans="1:14">
      <c r="A58" s="7"/>
      <c r="B58" s="7"/>
      <c r="C58" s="12"/>
      <c r="D58" s="12"/>
      <c r="E58" s="12"/>
      <c r="F58" s="12"/>
      <c r="G58" s="12"/>
      <c r="H58" s="12"/>
      <c r="I58" s="12"/>
      <c r="J58" s="12"/>
      <c r="K58" s="12"/>
      <c r="L58" s="7"/>
      <c r="M58" s="7"/>
      <c r="N58" s="7"/>
    </row>
    <row r="59" spans="1:14">
      <c r="A59" s="7"/>
      <c r="B59" s="7"/>
      <c r="C59" s="12"/>
      <c r="D59" s="12"/>
      <c r="E59" s="12"/>
      <c r="F59" s="12"/>
      <c r="G59" s="12"/>
      <c r="H59" s="12"/>
      <c r="I59" s="12"/>
      <c r="J59" s="12"/>
      <c r="K59" s="12"/>
      <c r="L59" s="7"/>
      <c r="M59" s="7"/>
      <c r="N59" s="7"/>
    </row>
    <row r="60" spans="1:14">
      <c r="A60" s="7"/>
      <c r="B60" s="7"/>
      <c r="C60" s="12"/>
      <c r="D60" s="12"/>
      <c r="E60" s="12"/>
      <c r="F60" s="12"/>
      <c r="G60" s="12"/>
      <c r="H60" s="12"/>
      <c r="I60" s="12"/>
      <c r="J60" s="12"/>
      <c r="K60" s="12"/>
      <c r="L60" s="7"/>
      <c r="M60" s="7"/>
      <c r="N60" s="7"/>
    </row>
    <row r="61" spans="1:14">
      <c r="A61" s="7"/>
      <c r="B61" s="7"/>
      <c r="C61" s="12"/>
      <c r="D61" s="12"/>
      <c r="E61" s="12"/>
      <c r="F61" s="12"/>
      <c r="G61" s="12"/>
      <c r="H61" s="12"/>
      <c r="I61" s="12"/>
      <c r="J61" s="12"/>
      <c r="K61" s="12"/>
      <c r="L61" s="7"/>
      <c r="M61" s="7"/>
      <c r="N61" s="7"/>
    </row>
    <row r="62" spans="1:14">
      <c r="A62" s="7"/>
      <c r="B62" s="7"/>
      <c r="C62" s="12"/>
      <c r="D62" s="12"/>
      <c r="E62" s="12"/>
      <c r="F62" s="12"/>
      <c r="G62" s="12"/>
      <c r="H62" s="12"/>
      <c r="I62" s="12"/>
      <c r="J62" s="12"/>
      <c r="K62" s="12"/>
      <c r="L62" s="7"/>
      <c r="M62" s="7"/>
      <c r="N62" s="7"/>
    </row>
    <row r="63" spans="1:1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>
      <c r="A64" s="7"/>
      <c r="B64" s="7"/>
      <c r="C64" s="7"/>
      <c r="D64" s="7"/>
      <c r="E64" s="7"/>
      <c r="F64" s="44" t="s">
        <v>269</v>
      </c>
      <c r="G64" s="44"/>
      <c r="H64" s="44"/>
      <c r="I64" s="7"/>
      <c r="J64" s="7"/>
      <c r="K64" s="7"/>
      <c r="L64" s="7"/>
      <c r="M64" s="7"/>
      <c r="N64" s="7"/>
    </row>
    <row r="65" spans="1:14" ht="15.6">
      <c r="A65" s="7"/>
      <c r="B65" s="7"/>
      <c r="C65" s="7"/>
      <c r="D65" s="7"/>
      <c r="E65" s="55" t="s">
        <v>260</v>
      </c>
      <c r="F65" s="55"/>
      <c r="G65" s="55"/>
      <c r="H65" s="55"/>
      <c r="I65" s="55"/>
      <c r="J65" s="7"/>
      <c r="K65" s="7"/>
      <c r="L65" s="7"/>
      <c r="M65" s="7"/>
      <c r="N65" s="7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>
      <c r="A67" s="4" t="s">
        <v>3</v>
      </c>
      <c r="B67" s="4" t="s">
        <v>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5" t="s">
        <v>5</v>
      </c>
      <c r="B69" s="5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4" t="s">
        <v>6</v>
      </c>
      <c r="B70" s="4"/>
      <c r="C70" s="4"/>
      <c r="D70" s="4"/>
      <c r="E70" s="4"/>
      <c r="F70" s="6" t="s">
        <v>98</v>
      </c>
      <c r="G70" s="7"/>
      <c r="H70" s="4"/>
      <c r="I70" s="4"/>
      <c r="J70" s="13" t="str">
        <f>CONCATENATE("=")</f>
        <v>=</v>
      </c>
      <c r="K70" s="6">
        <v>0.06</v>
      </c>
      <c r="L70" s="6" t="s">
        <v>261</v>
      </c>
      <c r="M70" s="6"/>
      <c r="N70" s="6"/>
    </row>
    <row r="71" spans="1:14" ht="18.600000000000001">
      <c r="A71" s="4" t="s">
        <v>7</v>
      </c>
      <c r="B71" s="4"/>
      <c r="C71" s="4"/>
      <c r="D71" s="4"/>
      <c r="E71" s="4"/>
      <c r="F71" s="6" t="s">
        <v>249</v>
      </c>
      <c r="G71" s="7"/>
      <c r="H71" s="4"/>
      <c r="I71" s="4"/>
      <c r="J71" s="13" t="str">
        <f t="shared" ref="G71:J108" si="0">CONCATENATE("=")</f>
        <v>=</v>
      </c>
      <c r="K71" s="19">
        <v>6</v>
      </c>
      <c r="L71" s="6"/>
      <c r="M71" s="6"/>
      <c r="N71" s="6"/>
    </row>
    <row r="72" spans="1:14">
      <c r="A72" s="5" t="s">
        <v>8</v>
      </c>
      <c r="B72" s="5"/>
      <c r="C72" s="4"/>
      <c r="D72" s="4"/>
      <c r="E72" s="4"/>
      <c r="F72" s="6"/>
      <c r="G72" s="7"/>
      <c r="H72" s="4"/>
      <c r="I72" s="4"/>
      <c r="J72" s="13"/>
      <c r="K72" s="6"/>
      <c r="L72" s="6"/>
      <c r="M72" s="6"/>
      <c r="N72" s="6"/>
    </row>
    <row r="73" spans="1:14">
      <c r="A73" s="4" t="s">
        <v>9</v>
      </c>
      <c r="B73" s="4"/>
      <c r="C73" s="4"/>
      <c r="D73" s="4"/>
      <c r="E73" s="10"/>
      <c r="F73" s="10" t="s">
        <v>99</v>
      </c>
      <c r="G73" s="7"/>
      <c r="H73" s="4"/>
      <c r="I73" s="4"/>
      <c r="J73" s="13" t="str">
        <f t="shared" si="0"/>
        <v>=</v>
      </c>
      <c r="K73" s="6">
        <v>25.5</v>
      </c>
      <c r="L73" s="6" t="s">
        <v>125</v>
      </c>
      <c r="M73" s="6">
        <f>K73*2.54</f>
        <v>64.77</v>
      </c>
      <c r="N73" s="6" t="s">
        <v>126</v>
      </c>
    </row>
    <row r="74" spans="1:14">
      <c r="A74" s="4" t="s">
        <v>10</v>
      </c>
      <c r="B74" s="4"/>
      <c r="C74" s="4"/>
      <c r="D74" s="4"/>
      <c r="E74" s="10"/>
      <c r="F74" s="10" t="s">
        <v>123</v>
      </c>
      <c r="G74" s="7"/>
      <c r="H74" s="4"/>
      <c r="I74" s="4"/>
      <c r="J74" s="13" t="str">
        <f t="shared" si="0"/>
        <v>=</v>
      </c>
      <c r="K74" s="6">
        <v>24</v>
      </c>
      <c r="L74" s="6"/>
      <c r="M74" s="6"/>
      <c r="N74" s="6"/>
    </row>
    <row r="75" spans="1:14">
      <c r="A75" s="4" t="s">
        <v>11</v>
      </c>
      <c r="B75" s="4"/>
      <c r="C75" s="4"/>
      <c r="D75" s="4"/>
      <c r="E75" s="10"/>
      <c r="F75" s="10" t="s">
        <v>100</v>
      </c>
      <c r="G75" s="7"/>
      <c r="H75" s="4"/>
      <c r="I75" s="4"/>
      <c r="J75" s="13" t="str">
        <f t="shared" si="0"/>
        <v>=</v>
      </c>
      <c r="K75" s="6">
        <v>4.3310000000000004</v>
      </c>
      <c r="L75" s="6" t="s">
        <v>125</v>
      </c>
      <c r="M75" s="6"/>
      <c r="N75" s="6"/>
    </row>
    <row r="76" spans="1:14">
      <c r="A76" s="4" t="s">
        <v>12</v>
      </c>
      <c r="B76" s="4"/>
      <c r="C76" s="4"/>
      <c r="D76" s="4"/>
      <c r="E76" s="10"/>
      <c r="F76" s="10" t="s">
        <v>102</v>
      </c>
      <c r="G76" s="7"/>
      <c r="H76" s="4"/>
      <c r="I76" s="4"/>
      <c r="J76" s="13" t="str">
        <f t="shared" si="0"/>
        <v>=</v>
      </c>
      <c r="K76" s="6">
        <v>0.1196</v>
      </c>
      <c r="L76" s="6"/>
      <c r="M76" s="6"/>
      <c r="N76" s="6"/>
    </row>
    <row r="77" spans="1:14" ht="16.2">
      <c r="A77" s="4" t="s">
        <v>101</v>
      </c>
      <c r="B77" s="4"/>
      <c r="C77" s="4"/>
      <c r="D77" s="4"/>
      <c r="E77" s="10"/>
      <c r="F77" s="10" t="s">
        <v>163</v>
      </c>
      <c r="G77" s="7"/>
      <c r="H77" s="4"/>
      <c r="I77" s="4"/>
      <c r="J77" s="13" t="str">
        <f t="shared" si="0"/>
        <v>=</v>
      </c>
      <c r="K77" s="6">
        <v>0.23599999999999999</v>
      </c>
      <c r="L77" s="6"/>
      <c r="M77" s="6"/>
      <c r="N77" s="6"/>
    </row>
    <row r="78" spans="1:14">
      <c r="A78" s="4" t="s">
        <v>13</v>
      </c>
      <c r="B78" s="4"/>
      <c r="C78" s="4"/>
      <c r="D78" s="4"/>
      <c r="E78" s="10"/>
      <c r="F78" s="10" t="s">
        <v>103</v>
      </c>
      <c r="G78" s="7"/>
      <c r="H78" s="4"/>
      <c r="I78" s="4"/>
      <c r="J78" s="13" t="str">
        <f t="shared" si="0"/>
        <v>=</v>
      </c>
      <c r="K78" s="6">
        <v>19.05</v>
      </c>
      <c r="L78" s="6"/>
      <c r="M78" s="6"/>
      <c r="N78" s="6"/>
    </row>
    <row r="79" spans="1:14" ht="16.2">
      <c r="A79" s="4" t="s">
        <v>14</v>
      </c>
      <c r="B79" s="4"/>
      <c r="C79" s="4"/>
      <c r="D79" s="4"/>
      <c r="E79" s="10"/>
      <c r="F79" s="10" t="s">
        <v>164</v>
      </c>
      <c r="G79" s="7"/>
      <c r="H79" s="4"/>
      <c r="I79" s="4"/>
      <c r="J79" s="13" t="str">
        <f t="shared" si="0"/>
        <v>=</v>
      </c>
      <c r="K79" s="6">
        <v>1</v>
      </c>
      <c r="L79" s="6"/>
      <c r="M79" s="6"/>
      <c r="N79" s="6"/>
    </row>
    <row r="80" spans="1:14" ht="16.2">
      <c r="A80" s="4" t="s">
        <v>15</v>
      </c>
      <c r="B80" s="4"/>
      <c r="C80" s="4"/>
      <c r="D80" s="4"/>
      <c r="E80" s="10"/>
      <c r="F80" s="10" t="s">
        <v>165</v>
      </c>
      <c r="G80" s="7"/>
      <c r="H80" s="4"/>
      <c r="I80" s="4"/>
      <c r="J80" s="13" t="str">
        <f t="shared" si="0"/>
        <v>=</v>
      </c>
      <c r="K80" s="6">
        <v>1</v>
      </c>
      <c r="L80" s="6"/>
      <c r="M80" s="6"/>
      <c r="N80" s="6"/>
    </row>
    <row r="81" spans="1:15" ht="16.2">
      <c r="A81" s="4" t="s">
        <v>16</v>
      </c>
      <c r="B81" s="4"/>
      <c r="C81" s="4"/>
      <c r="D81" s="4"/>
      <c r="E81" s="10"/>
      <c r="F81" s="10" t="s">
        <v>166</v>
      </c>
      <c r="G81" s="7"/>
      <c r="H81" s="4"/>
      <c r="I81" s="4"/>
      <c r="J81" s="13" t="str">
        <f t="shared" si="0"/>
        <v>=</v>
      </c>
      <c r="K81" s="6">
        <v>1</v>
      </c>
      <c r="L81" s="6"/>
      <c r="M81" s="6"/>
      <c r="N81" s="6"/>
    </row>
    <row r="82" spans="1:15" ht="16.2">
      <c r="A82" s="4" t="s">
        <v>17</v>
      </c>
      <c r="B82" s="4"/>
      <c r="C82" s="10" t="s">
        <v>167</v>
      </c>
      <c r="D82" s="49" t="str">
        <f>CONCATENATE("=","N","*","ti","+","(N-1)","*","ts","+","tbp","+","ttp","+",2,"*","tip")</f>
        <v>=N*ti+(N-1)*ts+tbp+ttp+2*tip</v>
      </c>
      <c r="E82" s="49"/>
      <c r="F82" s="49"/>
      <c r="G82" s="49"/>
      <c r="H82" s="49"/>
      <c r="I82" s="49"/>
      <c r="J82" s="13" t="str">
        <f t="shared" si="0"/>
        <v>=</v>
      </c>
      <c r="K82" s="20">
        <f>(K74*K77+(K74-1)*K76+K80+K79+2*K81)*25.4</f>
        <v>315.33591999999999</v>
      </c>
      <c r="L82" s="6" t="s">
        <v>126</v>
      </c>
      <c r="M82" s="6"/>
      <c r="N82" s="6"/>
    </row>
    <row r="83" spans="1:15">
      <c r="A83" s="5" t="s">
        <v>18</v>
      </c>
      <c r="B83" s="5"/>
      <c r="C83" s="4"/>
      <c r="D83" s="4"/>
      <c r="E83" s="10"/>
      <c r="F83" s="10"/>
      <c r="G83" s="7"/>
      <c r="H83" s="4"/>
      <c r="I83" s="4"/>
      <c r="J83" s="13"/>
      <c r="K83" s="4"/>
      <c r="L83" s="4"/>
      <c r="M83" s="4"/>
      <c r="N83" s="4"/>
    </row>
    <row r="84" spans="1:15" ht="16.2">
      <c r="A84" s="4" t="s">
        <v>18</v>
      </c>
      <c r="B84" s="4"/>
      <c r="C84" s="4"/>
      <c r="D84" s="10" t="s">
        <v>168</v>
      </c>
      <c r="E84" s="54" t="s">
        <v>127</v>
      </c>
      <c r="F84" s="54"/>
      <c r="G84" s="54"/>
      <c r="H84" s="54"/>
      <c r="I84" s="54"/>
      <c r="J84" s="13" t="str">
        <f t="shared" si="0"/>
        <v>=</v>
      </c>
      <c r="K84" s="19">
        <v>6</v>
      </c>
      <c r="L84" s="6" t="s">
        <v>129</v>
      </c>
      <c r="M84" s="4"/>
      <c r="N84" s="4"/>
    </row>
    <row r="85" spans="1:15" ht="16.2">
      <c r="A85" s="4" t="s">
        <v>19</v>
      </c>
      <c r="B85" s="4"/>
      <c r="C85" s="4"/>
      <c r="D85" s="10" t="s">
        <v>169</v>
      </c>
      <c r="E85" s="52" t="s">
        <v>128</v>
      </c>
      <c r="F85" s="52"/>
      <c r="G85" s="52"/>
      <c r="H85" s="52"/>
      <c r="I85" s="52"/>
      <c r="J85" s="13" t="str">
        <f t="shared" si="0"/>
        <v>=</v>
      </c>
      <c r="K85" s="19">
        <v>12</v>
      </c>
      <c r="L85" s="6" t="s">
        <v>129</v>
      </c>
      <c r="M85" s="4"/>
      <c r="N85" s="4"/>
    </row>
    <row r="86" spans="1:15">
      <c r="A86" s="5" t="s">
        <v>20</v>
      </c>
      <c r="B86" s="5"/>
      <c r="C86" s="4"/>
      <c r="D86" s="4"/>
      <c r="E86" s="10"/>
      <c r="F86" s="10"/>
      <c r="G86" s="7"/>
      <c r="H86" s="4"/>
      <c r="I86" s="4"/>
      <c r="J86" s="13"/>
      <c r="K86" s="19"/>
      <c r="L86" s="6"/>
      <c r="M86" s="4"/>
      <c r="N86" s="4"/>
    </row>
    <row r="87" spans="1:15">
      <c r="A87" s="4" t="s">
        <v>21</v>
      </c>
      <c r="B87" s="4"/>
      <c r="C87" s="4"/>
      <c r="D87" s="4" t="s">
        <v>250</v>
      </c>
      <c r="E87" s="10"/>
      <c r="F87" s="10" t="s">
        <v>104</v>
      </c>
      <c r="G87" s="7"/>
      <c r="H87" s="4"/>
      <c r="I87" s="4"/>
      <c r="J87" s="13" t="str">
        <f t="shared" si="0"/>
        <v>=</v>
      </c>
      <c r="K87" s="17">
        <v>3</v>
      </c>
      <c r="L87" s="6"/>
      <c r="M87" s="4"/>
      <c r="N87" s="4"/>
    </row>
    <row r="88" spans="1:15" ht="16.2">
      <c r="A88" s="4" t="s">
        <v>22</v>
      </c>
      <c r="B88" s="4"/>
      <c r="C88" s="4"/>
      <c r="D88" s="4" t="s">
        <v>250</v>
      </c>
      <c r="E88" s="10"/>
      <c r="F88" s="10" t="s">
        <v>170</v>
      </c>
      <c r="G88" s="7"/>
      <c r="H88" s="4"/>
      <c r="I88" s="4"/>
      <c r="J88" s="13" t="str">
        <f t="shared" si="0"/>
        <v>=</v>
      </c>
      <c r="K88" s="17">
        <v>1</v>
      </c>
      <c r="L88" s="6"/>
      <c r="M88" s="4"/>
      <c r="N88" s="4"/>
    </row>
    <row r="89" spans="1:15" ht="16.2">
      <c r="A89" s="4" t="s">
        <v>23</v>
      </c>
      <c r="B89" s="4"/>
      <c r="C89" s="4"/>
      <c r="D89" s="10" t="s">
        <v>251</v>
      </c>
      <c r="E89" s="11" t="s">
        <v>130</v>
      </c>
      <c r="F89" s="11"/>
      <c r="G89" s="11"/>
      <c r="H89" s="11"/>
      <c r="I89" s="4"/>
      <c r="J89" s="13" t="str">
        <f t="shared" si="0"/>
        <v>=</v>
      </c>
      <c r="K89" s="19">
        <v>0</v>
      </c>
      <c r="L89" s="6"/>
      <c r="M89" s="4" t="s">
        <v>233</v>
      </c>
      <c r="N89" s="9">
        <v>0</v>
      </c>
      <c r="O89" s="1"/>
    </row>
    <row r="90" spans="1:15">
      <c r="A90" s="4" t="s">
        <v>24</v>
      </c>
      <c r="B90" s="4"/>
      <c r="C90" s="4"/>
      <c r="D90" s="10" t="s">
        <v>105</v>
      </c>
      <c r="E90" s="11" t="s">
        <v>131</v>
      </c>
      <c r="F90" s="12"/>
      <c r="G90" s="12"/>
      <c r="H90" s="12"/>
      <c r="I90" s="12"/>
      <c r="J90" s="13" t="str">
        <f t="shared" si="0"/>
        <v>=</v>
      </c>
      <c r="K90" s="41">
        <v>800</v>
      </c>
      <c r="L90" s="6" t="s">
        <v>133</v>
      </c>
      <c r="M90" s="4"/>
      <c r="N90" s="4"/>
    </row>
    <row r="91" spans="1:15" ht="16.2">
      <c r="A91" s="4" t="s">
        <v>25</v>
      </c>
      <c r="B91" s="4"/>
      <c r="C91" s="4"/>
      <c r="D91" s="10" t="s">
        <v>171</v>
      </c>
      <c r="E91" s="11" t="s">
        <v>132</v>
      </c>
      <c r="F91" s="12"/>
      <c r="G91" s="12"/>
      <c r="H91" s="12"/>
      <c r="I91" s="12"/>
      <c r="J91" s="13" t="str">
        <f t="shared" si="0"/>
        <v>=</v>
      </c>
      <c r="K91" s="41">
        <v>1400</v>
      </c>
      <c r="L91" s="6" t="s">
        <v>133</v>
      </c>
      <c r="M91" s="4"/>
      <c r="N91" s="4"/>
    </row>
    <row r="92" spans="1:15">
      <c r="A92" s="5" t="s">
        <v>26</v>
      </c>
      <c r="B92" s="5"/>
      <c r="C92" s="4"/>
      <c r="D92" s="4"/>
      <c r="E92" s="10"/>
      <c r="F92" s="10"/>
      <c r="G92" s="7"/>
      <c r="H92" s="4"/>
      <c r="I92" s="4"/>
      <c r="J92" s="13"/>
      <c r="K92" s="6"/>
      <c r="L92" s="6"/>
      <c r="M92" s="4"/>
      <c r="N92" s="4"/>
    </row>
    <row r="93" spans="1:15">
      <c r="A93" s="4" t="s">
        <v>27</v>
      </c>
      <c r="B93" s="4"/>
      <c r="C93" s="4"/>
      <c r="D93" s="4"/>
      <c r="E93" s="10"/>
      <c r="F93" s="10" t="s">
        <v>107</v>
      </c>
      <c r="G93" s="7"/>
      <c r="H93" s="4"/>
      <c r="I93" s="4"/>
      <c r="J93" s="13" t="str">
        <f t="shared" si="0"/>
        <v>=</v>
      </c>
      <c r="K93" s="6">
        <v>300</v>
      </c>
      <c r="L93" s="6" t="s">
        <v>134</v>
      </c>
      <c r="M93" s="4"/>
      <c r="N93" s="4"/>
    </row>
    <row r="94" spans="1:15" ht="16.2">
      <c r="A94" s="4" t="s">
        <v>28</v>
      </c>
      <c r="B94" s="4"/>
      <c r="C94" s="4"/>
      <c r="D94" s="4"/>
      <c r="E94" s="10"/>
      <c r="F94" s="10" t="s">
        <v>172</v>
      </c>
      <c r="G94" s="7" t="s">
        <v>135</v>
      </c>
      <c r="H94" s="4"/>
      <c r="I94" s="4"/>
      <c r="J94" s="13" t="str">
        <f t="shared" si="0"/>
        <v>=</v>
      </c>
      <c r="K94" s="6">
        <f>4*K70</f>
        <v>0.24</v>
      </c>
      <c r="L94" s="6" t="s">
        <v>134</v>
      </c>
      <c r="M94" s="4"/>
      <c r="N94" s="4"/>
    </row>
    <row r="95" spans="1:15">
      <c r="A95" s="4" t="s">
        <v>29</v>
      </c>
      <c r="B95" s="4"/>
      <c r="C95" s="10" t="s">
        <v>108</v>
      </c>
      <c r="D95" s="51" t="s">
        <v>136</v>
      </c>
      <c r="E95" s="51"/>
      <c r="F95" s="51"/>
      <c r="G95" s="51"/>
      <c r="H95" s="51"/>
      <c r="I95" s="51"/>
      <c r="J95" s="13" t="str">
        <f t="shared" si="0"/>
        <v>=</v>
      </c>
      <c r="K95" s="6"/>
      <c r="L95" s="6"/>
      <c r="M95" s="4"/>
      <c r="N95" s="4"/>
    </row>
    <row r="96" spans="1:15">
      <c r="A96" s="6" t="s">
        <v>30</v>
      </c>
      <c r="B96" s="6"/>
      <c r="C96" s="6" t="s">
        <v>137</v>
      </c>
      <c r="D96" s="4" t="s">
        <v>138</v>
      </c>
      <c r="E96" s="10"/>
      <c r="F96" s="10"/>
      <c r="G96" s="7"/>
      <c r="H96" s="4"/>
      <c r="I96" s="4"/>
      <c r="J96" s="13" t="str">
        <f t="shared" si="0"/>
        <v>=</v>
      </c>
      <c r="K96" s="6">
        <v>0.85</v>
      </c>
      <c r="L96" s="6"/>
      <c r="M96" s="4"/>
      <c r="N96" s="4"/>
    </row>
    <row r="97" spans="1:16">
      <c r="A97" s="4" t="s">
        <v>31</v>
      </c>
      <c r="B97" s="4"/>
      <c r="C97" s="4"/>
      <c r="D97" s="4"/>
      <c r="E97" s="10"/>
      <c r="F97" s="10" t="s">
        <v>109</v>
      </c>
      <c r="G97" s="7" t="s">
        <v>139</v>
      </c>
      <c r="H97" s="4"/>
      <c r="I97" s="4"/>
      <c r="J97" s="13" t="str">
        <f t="shared" si="0"/>
        <v>=</v>
      </c>
      <c r="K97" s="6">
        <f>K77*K74</f>
        <v>5.6639999999999997</v>
      </c>
      <c r="L97" s="6" t="s">
        <v>129</v>
      </c>
      <c r="M97" s="4"/>
      <c r="N97" s="4"/>
    </row>
    <row r="98" spans="1:16">
      <c r="A98" s="4" t="s">
        <v>32</v>
      </c>
      <c r="B98" s="4"/>
      <c r="C98" s="4"/>
      <c r="D98" s="4"/>
      <c r="E98" s="14" t="s">
        <v>140</v>
      </c>
      <c r="F98" s="14"/>
      <c r="G98" s="14"/>
      <c r="H98" s="4"/>
      <c r="I98" s="4"/>
      <c r="J98" s="13" t="str">
        <f t="shared" si="0"/>
        <v>=</v>
      </c>
      <c r="K98" s="17">
        <f>K73-2*(K78/25.4)</f>
        <v>24</v>
      </c>
      <c r="L98" s="6" t="s">
        <v>129</v>
      </c>
      <c r="M98" s="4"/>
      <c r="N98" s="4"/>
    </row>
    <row r="99" spans="1:16" ht="16.2">
      <c r="A99" s="4" t="s">
        <v>33</v>
      </c>
      <c r="B99" s="4"/>
      <c r="C99" s="4"/>
      <c r="D99" s="4"/>
      <c r="E99" s="49" t="s">
        <v>173</v>
      </c>
      <c r="F99" s="49"/>
      <c r="G99" s="7"/>
      <c r="H99" s="4"/>
      <c r="I99" s="4"/>
      <c r="J99" s="13" t="str">
        <f t="shared" si="0"/>
        <v>=</v>
      </c>
      <c r="K99" s="19">
        <f>PI()*K98^2/4</f>
        <v>452.38934211693021</v>
      </c>
      <c r="L99" s="6" t="s">
        <v>141</v>
      </c>
      <c r="M99" s="4"/>
      <c r="N99" s="4"/>
    </row>
    <row r="100" spans="1:16">
      <c r="A100" s="4" t="s">
        <v>110</v>
      </c>
      <c r="B100" s="4"/>
      <c r="C100" s="4"/>
      <c r="D100" s="4"/>
      <c r="E100" s="52" t="s">
        <v>174</v>
      </c>
      <c r="F100" s="52"/>
      <c r="G100" s="7"/>
      <c r="H100" s="4"/>
      <c r="I100" s="4"/>
      <c r="J100" s="13" t="str">
        <f t="shared" si="0"/>
        <v>=</v>
      </c>
      <c r="K100" s="19">
        <f>PI()*K75^2/4</f>
        <v>14.732153959215605</v>
      </c>
      <c r="L100" s="6" t="s">
        <v>141</v>
      </c>
      <c r="M100" s="4"/>
      <c r="N100" s="4"/>
    </row>
    <row r="101" spans="1:16">
      <c r="A101" s="4" t="s">
        <v>34</v>
      </c>
      <c r="B101" s="4"/>
      <c r="C101" s="4"/>
      <c r="D101" s="4"/>
      <c r="E101" s="52" t="s">
        <v>142</v>
      </c>
      <c r="F101" s="52"/>
      <c r="G101" s="7"/>
      <c r="H101" s="4"/>
      <c r="I101" s="4"/>
      <c r="J101" s="13" t="str">
        <f t="shared" si="0"/>
        <v>=</v>
      </c>
      <c r="K101" s="19">
        <f>K99-K100</f>
        <v>437.65718815771459</v>
      </c>
      <c r="L101" s="6" t="s">
        <v>141</v>
      </c>
      <c r="M101" s="4"/>
      <c r="N101" s="4"/>
    </row>
    <row r="102" spans="1:16">
      <c r="A102" s="4" t="s">
        <v>35</v>
      </c>
      <c r="B102" s="4"/>
      <c r="C102" s="4"/>
      <c r="D102" s="4"/>
      <c r="E102" s="52" t="s">
        <v>175</v>
      </c>
      <c r="F102" s="52"/>
      <c r="G102" s="7"/>
      <c r="H102" s="4"/>
      <c r="I102" s="4"/>
      <c r="J102" s="13" t="str">
        <f t="shared" si="0"/>
        <v>=</v>
      </c>
      <c r="K102" s="17">
        <f>PI()*K73^2/4-K100</f>
        <v>495.97300178997511</v>
      </c>
      <c r="L102" s="6" t="s">
        <v>141</v>
      </c>
      <c r="M102" s="4"/>
      <c r="N102" s="4"/>
    </row>
    <row r="103" spans="1:16">
      <c r="A103" s="4" t="s">
        <v>36</v>
      </c>
      <c r="B103" s="4"/>
      <c r="C103" s="4"/>
      <c r="D103" s="4"/>
      <c r="E103" s="15" t="s">
        <v>176</v>
      </c>
      <c r="F103" s="15"/>
      <c r="G103" s="7"/>
      <c r="H103" s="4"/>
      <c r="I103" s="4" t="s">
        <v>143</v>
      </c>
      <c r="J103" s="13" t="str">
        <f t="shared" si="0"/>
        <v>=</v>
      </c>
      <c r="K103" s="19">
        <f>0.25*PI()*(K98^2-K75^2)/(PI()*K98*K77)</f>
        <v>24.595799743997176</v>
      </c>
      <c r="L103" s="6"/>
      <c r="M103" s="4"/>
      <c r="N103" s="4"/>
    </row>
    <row r="104" spans="1:16">
      <c r="A104" s="6" t="s">
        <v>37</v>
      </c>
      <c r="B104" s="6"/>
      <c r="C104" s="6"/>
      <c r="D104" s="4"/>
      <c r="E104" s="51"/>
      <c r="F104" s="51"/>
      <c r="G104" s="7"/>
      <c r="H104" s="4"/>
      <c r="I104" s="4"/>
      <c r="J104" s="13" t="str">
        <f t="shared" si="0"/>
        <v>=</v>
      </c>
      <c r="K104" s="6"/>
      <c r="L104" s="6"/>
      <c r="M104" s="4"/>
      <c r="N104" s="4"/>
    </row>
    <row r="105" spans="1:16">
      <c r="A105" s="4" t="s">
        <v>38</v>
      </c>
      <c r="B105" s="4"/>
      <c r="C105" s="4"/>
      <c r="D105" s="4"/>
      <c r="E105" s="4"/>
      <c r="F105" s="15" t="s">
        <v>111</v>
      </c>
      <c r="G105" s="52" t="s">
        <v>144</v>
      </c>
      <c r="H105" s="52"/>
      <c r="I105" s="52"/>
      <c r="J105" s="13" t="str">
        <f t="shared" si="0"/>
        <v>=</v>
      </c>
      <c r="K105" s="34">
        <f>K94*(1+2*K96*K103^2)</f>
        <v>247.06097293909912</v>
      </c>
      <c r="L105" s="6" t="s">
        <v>134</v>
      </c>
      <c r="M105" s="4"/>
      <c r="N105" s="4"/>
      <c r="P105">
        <f>(2*K98^2*ASIN((K98^2-G113^2)^0.5/K98)-G113*(K98^2-G113^2)^0.5)/(PI()*K98^2)</f>
        <v>1</v>
      </c>
    </row>
    <row r="106" spans="1:16">
      <c r="A106" s="12" t="s">
        <v>39</v>
      </c>
      <c r="B106" s="12"/>
      <c r="C106" s="12"/>
      <c r="D106" s="12"/>
      <c r="E106" s="12"/>
      <c r="F106" s="15" t="s">
        <v>112</v>
      </c>
      <c r="G106" s="52" t="s">
        <v>145</v>
      </c>
      <c r="H106" s="52"/>
      <c r="I106" s="52"/>
      <c r="J106" s="52"/>
      <c r="K106" s="34">
        <f>1/(1/K105+1/K93)</f>
        <v>135.48451735375548</v>
      </c>
      <c r="L106" s="6" t="s">
        <v>134</v>
      </c>
      <c r="M106" s="4"/>
      <c r="N106" s="4"/>
    </row>
    <row r="107" spans="1:16">
      <c r="A107" s="5" t="s">
        <v>40</v>
      </c>
      <c r="B107" s="5"/>
      <c r="C107" s="5"/>
      <c r="D107" s="15" t="s">
        <v>113</v>
      </c>
      <c r="E107" s="52" t="s">
        <v>155</v>
      </c>
      <c r="F107" s="52"/>
      <c r="G107" s="52"/>
      <c r="H107" s="4"/>
      <c r="I107" s="4"/>
      <c r="J107" s="4"/>
      <c r="K107" s="34">
        <f>K106*K101/(K74*K77)</f>
        <v>10468.886459030669</v>
      </c>
      <c r="L107" s="6" t="s">
        <v>146</v>
      </c>
      <c r="M107" s="4"/>
      <c r="N107" s="4"/>
    </row>
    <row r="108" spans="1:16">
      <c r="A108" s="4" t="s">
        <v>41</v>
      </c>
      <c r="B108" s="5"/>
      <c r="C108" s="5"/>
      <c r="D108" s="4"/>
      <c r="E108" s="4"/>
      <c r="F108" s="4"/>
      <c r="G108" s="13" t="str">
        <f t="shared" si="0"/>
        <v>=</v>
      </c>
      <c r="H108" s="4"/>
      <c r="I108" s="4"/>
      <c r="J108" s="4"/>
      <c r="K108" s="6"/>
      <c r="L108" s="6"/>
      <c r="M108" s="4"/>
      <c r="N108" s="4"/>
    </row>
    <row r="109" spans="1:16">
      <c r="A109" s="4" t="s">
        <v>42</v>
      </c>
      <c r="B109" s="4"/>
      <c r="C109" s="4"/>
      <c r="D109" s="4"/>
      <c r="E109" s="4"/>
      <c r="F109" s="4"/>
      <c r="G109" s="4"/>
      <c r="H109" s="4"/>
      <c r="I109" s="4"/>
      <c r="J109" s="4"/>
      <c r="K109" s="34">
        <v>17000</v>
      </c>
      <c r="L109" s="6" t="s">
        <v>146</v>
      </c>
      <c r="M109" s="4"/>
      <c r="N109" s="4"/>
      <c r="P109">
        <f>((K98^2*ASIN((K98^2-K113^2)^0.5/K98)-K113*(K98^2-K113^2)^0.5)/(PI()*K98^2))*2</f>
        <v>0.39100221895577075</v>
      </c>
    </row>
    <row r="110" spans="1:16">
      <c r="A110" s="5" t="s">
        <v>43</v>
      </c>
      <c r="B110" s="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6">
      <c r="A111" s="4" t="s">
        <v>44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6">
      <c r="A112" s="4" t="s">
        <v>45</v>
      </c>
      <c r="B112" s="4"/>
      <c r="C112" s="4"/>
      <c r="D112" s="4"/>
      <c r="E112" s="4"/>
      <c r="F112" s="4"/>
      <c r="G112" s="13"/>
      <c r="H112" s="4"/>
      <c r="I112" s="4"/>
      <c r="J112" s="4"/>
      <c r="K112" s="4"/>
      <c r="L112" s="4"/>
      <c r="M112" s="4"/>
      <c r="N112" s="4"/>
    </row>
    <row r="113" spans="1:15">
      <c r="A113" s="4" t="s">
        <v>46</v>
      </c>
      <c r="B113" s="4"/>
      <c r="C113" s="4"/>
      <c r="D113" s="4"/>
      <c r="E113" s="13" t="s">
        <v>162</v>
      </c>
      <c r="F113" s="4" t="s">
        <v>177</v>
      </c>
      <c r="G113" s="7">
        <v>0</v>
      </c>
      <c r="H113" s="4" t="s">
        <v>129</v>
      </c>
      <c r="I113" s="4">
        <v>6</v>
      </c>
      <c r="J113" s="4" t="s">
        <v>129</v>
      </c>
      <c r="K113" s="4">
        <v>12</v>
      </c>
      <c r="L113" s="4" t="s">
        <v>129</v>
      </c>
      <c r="M113" s="4"/>
      <c r="N113" s="4"/>
    </row>
    <row r="114" spans="1:15" ht="15.6">
      <c r="A114" s="4"/>
      <c r="B114" s="4"/>
      <c r="C114" s="4"/>
      <c r="D114" s="4"/>
      <c r="E114" s="6" t="s">
        <v>223</v>
      </c>
      <c r="F114" s="52" t="s">
        <v>220</v>
      </c>
      <c r="G114" s="52"/>
      <c r="H114" s="52"/>
      <c r="I114" s="52"/>
      <c r="J114" s="52"/>
      <c r="K114" s="26">
        <f>((K98^2*ASIN((K98^2-G113^2)^0.5/K98)-G113*(K98^2-G113^2)^0.5)/(PI()*K98^2))*2</f>
        <v>1</v>
      </c>
      <c r="L114" s="15"/>
      <c r="M114" s="15"/>
      <c r="N114" s="4"/>
    </row>
    <row r="115" spans="1:15">
      <c r="A115" s="4"/>
      <c r="B115" s="4"/>
      <c r="C115" s="4"/>
      <c r="D115" s="4"/>
      <c r="E115" s="6" t="s">
        <v>221</v>
      </c>
      <c r="F115" s="4"/>
      <c r="G115" s="4"/>
      <c r="H115" s="4"/>
      <c r="I115" s="4"/>
      <c r="J115" s="25" t="str">
        <f t="shared" ref="J115:J116" si="1">CONCATENATE("=")</f>
        <v>=</v>
      </c>
      <c r="K115" s="20">
        <f>((K98^2*ASIN((K98^2-I113^2)^0.5/K98)-I113*(K98^2-I113^2)^0.5)/(PI()*K98^2))*2</f>
        <v>0.68503764247429244</v>
      </c>
      <c r="L115" s="4"/>
      <c r="M115" s="4"/>
      <c r="N115" s="4"/>
    </row>
    <row r="116" spans="1:15">
      <c r="A116" s="4"/>
      <c r="B116" s="4"/>
      <c r="C116" s="4"/>
      <c r="D116" s="4"/>
      <c r="E116" s="6" t="s">
        <v>222</v>
      </c>
      <c r="F116" s="4"/>
      <c r="G116" s="4"/>
      <c r="H116" s="4"/>
      <c r="I116" s="4"/>
      <c r="J116" s="25" t="str">
        <f t="shared" si="1"/>
        <v>=</v>
      </c>
      <c r="K116" s="2">
        <f>((K98^2*ASIN((K98^2-K113^2)^0.5/K98)-K113*(K98^2-K113^2)^0.5)/(PI()*K98^2))*2</f>
        <v>0.39100221895577075</v>
      </c>
      <c r="L116" s="4"/>
      <c r="M116" s="4"/>
      <c r="N116" s="4"/>
    </row>
    <row r="117" spans="1:15">
      <c r="A117" s="5" t="s">
        <v>47</v>
      </c>
      <c r="B117" s="5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5">
      <c r="A118" s="4" t="s">
        <v>48</v>
      </c>
      <c r="B118" s="4"/>
      <c r="C118" s="4"/>
      <c r="D118" s="15" t="s">
        <v>114</v>
      </c>
      <c r="E118" s="13" t="str">
        <f t="shared" ref="E118" si="2">CONCATENATE("=")</f>
        <v>=</v>
      </c>
      <c r="F118" s="15" t="s">
        <v>147</v>
      </c>
      <c r="G118" s="13"/>
      <c r="H118" s="4"/>
      <c r="I118" s="4"/>
      <c r="J118" s="13" t="str">
        <f t="shared" ref="J118" si="3">CONCATENATE("=")</f>
        <v>=</v>
      </c>
      <c r="K118" s="17">
        <f>K102*K70/K97</f>
        <v>5.2539512901480414</v>
      </c>
      <c r="L118" s="6" t="s">
        <v>148</v>
      </c>
      <c r="M118" s="4"/>
      <c r="N118" s="4"/>
    </row>
    <row r="119" spans="1:15">
      <c r="A119" s="4" t="s">
        <v>49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5">
      <c r="A120" s="4" t="s">
        <v>50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5">
      <c r="A121" s="4" t="s">
        <v>178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5">
      <c r="A122" s="4" t="s">
        <v>51</v>
      </c>
      <c r="B122" s="4"/>
      <c r="C122" s="4"/>
      <c r="D122" s="18" t="s">
        <v>149</v>
      </c>
      <c r="E122" s="18" t="s">
        <v>150</v>
      </c>
      <c r="F122" s="18"/>
      <c r="G122" s="7"/>
      <c r="H122" s="4"/>
      <c r="I122" s="4"/>
      <c r="J122" s="13" t="str">
        <f t="shared" ref="J122:J138" si="4">CONCATENATE("=")</f>
        <v>=</v>
      </c>
      <c r="K122" s="17">
        <f>10*K118</f>
        <v>52.539512901480414</v>
      </c>
      <c r="L122" s="6" t="s">
        <v>148</v>
      </c>
      <c r="M122" s="4"/>
      <c r="N122" s="4"/>
    </row>
    <row r="123" spans="1:15">
      <c r="A123" s="4" t="s">
        <v>52</v>
      </c>
      <c r="B123" s="4"/>
      <c r="C123" s="4"/>
      <c r="D123" s="18" t="s">
        <v>151</v>
      </c>
      <c r="E123" s="18" t="s">
        <v>179</v>
      </c>
      <c r="F123" s="18"/>
      <c r="G123" s="7"/>
      <c r="H123" s="4"/>
      <c r="I123" s="4"/>
      <c r="J123" s="13" t="str">
        <f t="shared" si="4"/>
        <v>=</v>
      </c>
      <c r="K123" s="19">
        <f>1.3*(PI()/4*K75^2)</f>
        <v>19.151800146980285</v>
      </c>
      <c r="L123" s="6" t="s">
        <v>152</v>
      </c>
      <c r="M123" s="4"/>
      <c r="N123" s="4"/>
    </row>
    <row r="124" spans="1:15">
      <c r="A124" s="4" t="s">
        <v>53</v>
      </c>
      <c r="B124" s="4"/>
      <c r="C124" s="4"/>
      <c r="D124" s="18" t="s">
        <v>153</v>
      </c>
      <c r="E124" s="18" t="s">
        <v>154</v>
      </c>
      <c r="F124" s="18"/>
      <c r="G124" s="7"/>
      <c r="H124" s="4"/>
      <c r="I124" s="4"/>
      <c r="J124" s="13" t="str">
        <f t="shared" si="4"/>
        <v>=</v>
      </c>
      <c r="K124" s="19">
        <f>K123*K122/(K122-K118)</f>
        <v>21.279777941089208</v>
      </c>
      <c r="L124" s="6" t="s">
        <v>152</v>
      </c>
      <c r="M124" s="4"/>
      <c r="N124" s="4"/>
      <c r="O124">
        <f>ASIN(0.976771023)</f>
        <v>1.3548358250508259</v>
      </c>
    </row>
    <row r="125" spans="1:15">
      <c r="A125" s="4" t="s">
        <v>54</v>
      </c>
      <c r="B125" s="4"/>
      <c r="C125" s="4"/>
      <c r="D125" s="18" t="s">
        <v>180</v>
      </c>
      <c r="E125" s="18"/>
      <c r="F125" s="18"/>
      <c r="G125" s="7"/>
      <c r="H125" s="4"/>
      <c r="I125" s="4"/>
      <c r="J125" s="13" t="str">
        <f t="shared" si="4"/>
        <v>=</v>
      </c>
      <c r="K125" s="17">
        <f>K124/K122</f>
        <v>0.40502427156094939</v>
      </c>
      <c r="L125" s="6" t="s">
        <v>129</v>
      </c>
      <c r="M125" s="4"/>
      <c r="N125" s="4"/>
    </row>
    <row r="126" spans="1:15">
      <c r="A126" s="5" t="s">
        <v>55</v>
      </c>
      <c r="B126" s="5"/>
      <c r="C126" s="5"/>
      <c r="D126" s="5"/>
      <c r="E126" s="4"/>
      <c r="F126" s="4"/>
      <c r="G126" s="7"/>
      <c r="H126" s="4"/>
      <c r="I126" s="4"/>
      <c r="J126" s="13"/>
      <c r="K126" s="6"/>
      <c r="L126" s="6"/>
      <c r="M126" s="4"/>
      <c r="N126" s="4"/>
    </row>
    <row r="127" spans="1:15">
      <c r="A127" s="4" t="s">
        <v>57</v>
      </c>
      <c r="B127" s="4"/>
      <c r="C127" s="4"/>
      <c r="D127" s="18" t="s">
        <v>181</v>
      </c>
      <c r="E127" s="18" t="s">
        <v>182</v>
      </c>
      <c r="F127" s="18"/>
      <c r="G127" s="7"/>
      <c r="H127" s="4"/>
      <c r="I127" s="4"/>
      <c r="J127" s="13" t="str">
        <f t="shared" si="4"/>
        <v>=</v>
      </c>
      <c r="K127" s="20">
        <f>K123+K118*K84</f>
        <v>50.675507887868534</v>
      </c>
      <c r="L127" s="6" t="s">
        <v>152</v>
      </c>
      <c r="M127" s="4"/>
      <c r="N127" s="4"/>
    </row>
    <row r="128" spans="1:15">
      <c r="A128" s="4" t="s">
        <v>117</v>
      </c>
      <c r="B128" s="4"/>
      <c r="C128" s="4"/>
      <c r="D128" s="18" t="s">
        <v>183</v>
      </c>
      <c r="E128" s="45" t="s">
        <v>184</v>
      </c>
      <c r="F128" s="45"/>
      <c r="G128" s="45"/>
      <c r="H128" s="4"/>
      <c r="I128" s="4"/>
      <c r="J128" s="13" t="str">
        <f t="shared" si="4"/>
        <v>=</v>
      </c>
      <c r="K128" s="17">
        <f>K127/K84</f>
        <v>8.4459179813114229</v>
      </c>
      <c r="L128" s="6" t="s">
        <v>148</v>
      </c>
      <c r="M128" s="4"/>
      <c r="N128" s="4"/>
    </row>
    <row r="129" spans="1:14">
      <c r="A129" s="4" t="s">
        <v>58</v>
      </c>
      <c r="B129" s="4"/>
      <c r="C129" s="4"/>
      <c r="D129" s="18" t="s">
        <v>185</v>
      </c>
      <c r="E129" s="45" t="s">
        <v>158</v>
      </c>
      <c r="F129" s="45"/>
      <c r="G129" s="45"/>
      <c r="H129" s="4"/>
      <c r="I129" s="4"/>
      <c r="J129" s="13" t="str">
        <f t="shared" si="4"/>
        <v>=</v>
      </c>
      <c r="K129" s="19">
        <f>4*K123*(K84-K125)</f>
        <v>428.61542791308051</v>
      </c>
      <c r="L129" s="6" t="s">
        <v>156</v>
      </c>
      <c r="M129" s="4"/>
      <c r="N129" s="4"/>
    </row>
    <row r="130" spans="1:14" ht="15.6">
      <c r="A130" s="4" t="s">
        <v>59</v>
      </c>
      <c r="B130" s="4"/>
      <c r="C130" s="4"/>
      <c r="D130" s="18" t="s">
        <v>186</v>
      </c>
      <c r="E130" s="45" t="s">
        <v>187</v>
      </c>
      <c r="F130" s="45"/>
      <c r="G130" s="45"/>
      <c r="H130" s="45"/>
      <c r="I130" s="6" t="s">
        <v>252</v>
      </c>
      <c r="J130" s="13" t="str">
        <f t="shared" si="4"/>
        <v>=</v>
      </c>
      <c r="K130" s="20">
        <f>K129/(2*PI()*K84^2*K128)</f>
        <v>0.22435645568255971</v>
      </c>
      <c r="L130" s="6"/>
      <c r="M130" s="4"/>
      <c r="N130" s="4"/>
    </row>
    <row r="131" spans="1:14" ht="16.2">
      <c r="A131" s="4" t="s">
        <v>60</v>
      </c>
      <c r="B131" s="4"/>
      <c r="C131" s="4"/>
      <c r="D131" s="18" t="s">
        <v>254</v>
      </c>
      <c r="E131" s="18" t="s">
        <v>160</v>
      </c>
      <c r="F131" s="18"/>
      <c r="G131" s="7"/>
      <c r="H131" s="4"/>
      <c r="I131" s="6" t="s">
        <v>253</v>
      </c>
      <c r="J131" s="13" t="str">
        <f t="shared" si="4"/>
        <v>=</v>
      </c>
      <c r="K131" s="17">
        <f>K84/K97</f>
        <v>1.0593220338983051</v>
      </c>
      <c r="L131" s="6"/>
      <c r="M131" s="4"/>
      <c r="N131" s="4"/>
    </row>
    <row r="132" spans="1:14">
      <c r="A132" s="5" t="s">
        <v>61</v>
      </c>
      <c r="B132" s="5"/>
      <c r="C132" s="5"/>
      <c r="D132" s="5"/>
      <c r="E132" s="4"/>
      <c r="F132" s="4"/>
      <c r="G132" s="7"/>
      <c r="H132" s="4"/>
      <c r="I132" s="4"/>
      <c r="J132" s="13" t="str">
        <f t="shared" si="4"/>
        <v>=</v>
      </c>
      <c r="K132" s="6"/>
      <c r="L132" s="6"/>
      <c r="M132" s="4"/>
      <c r="N132" s="4"/>
    </row>
    <row r="133" spans="1:14">
      <c r="A133" s="4" t="s">
        <v>62</v>
      </c>
      <c r="B133" s="4"/>
      <c r="C133" s="4"/>
      <c r="D133" s="4"/>
      <c r="E133" s="4"/>
      <c r="F133" s="4"/>
      <c r="G133" s="4"/>
      <c r="H133" s="4"/>
      <c r="I133" s="4"/>
      <c r="J133" s="4"/>
      <c r="K133" s="6"/>
      <c r="L133" s="6"/>
      <c r="M133" s="4"/>
      <c r="N133" s="4"/>
    </row>
    <row r="134" spans="1:14">
      <c r="A134" s="4" t="s">
        <v>188</v>
      </c>
      <c r="B134" s="4"/>
      <c r="C134" s="4"/>
      <c r="D134" s="18" t="s">
        <v>189</v>
      </c>
      <c r="E134" s="45" t="s">
        <v>190</v>
      </c>
      <c r="F134" s="45"/>
      <c r="G134" s="45"/>
      <c r="H134" s="18" t="s">
        <v>191</v>
      </c>
      <c r="I134" s="4"/>
      <c r="J134" s="13" t="str">
        <f t="shared" si="4"/>
        <v>=</v>
      </c>
      <c r="K134" s="19">
        <f>K123+0.95*K118*K85</f>
        <v>79.046844854667967</v>
      </c>
      <c r="L134" s="6" t="s">
        <v>157</v>
      </c>
      <c r="M134" s="4"/>
      <c r="N134" s="4"/>
    </row>
    <row r="135" spans="1:14">
      <c r="A135" s="47" t="s">
        <v>192</v>
      </c>
      <c r="B135" s="47"/>
      <c r="C135" s="47"/>
      <c r="D135" s="18" t="s">
        <v>193</v>
      </c>
      <c r="E135" s="45" t="s">
        <v>194</v>
      </c>
      <c r="F135" s="45"/>
      <c r="G135" s="45"/>
      <c r="H135" s="46" t="s">
        <v>195</v>
      </c>
      <c r="I135" s="46"/>
      <c r="J135" s="13" t="str">
        <f t="shared" si="4"/>
        <v>=</v>
      </c>
      <c r="K135" s="17">
        <f>K134/K85</f>
        <v>6.5872370712223303</v>
      </c>
      <c r="L135" s="6" t="s">
        <v>146</v>
      </c>
      <c r="M135" s="4"/>
      <c r="N135" s="4"/>
    </row>
    <row r="136" spans="1:14">
      <c r="A136" s="4" t="s">
        <v>58</v>
      </c>
      <c r="B136" s="4"/>
      <c r="C136" s="4"/>
      <c r="D136" s="18" t="s">
        <v>196</v>
      </c>
      <c r="E136" s="45" t="s">
        <v>158</v>
      </c>
      <c r="F136" s="45"/>
      <c r="G136" s="45"/>
      <c r="H136" s="46" t="s">
        <v>197</v>
      </c>
      <c r="I136" s="46"/>
      <c r="J136" s="13" t="str">
        <f t="shared" si="4"/>
        <v>=</v>
      </c>
      <c r="K136" s="17">
        <f>4*K123*(K85-K125)</f>
        <v>888.25863144060747</v>
      </c>
      <c r="L136" s="6" t="s">
        <v>146</v>
      </c>
      <c r="M136" s="4"/>
      <c r="N136" s="4"/>
    </row>
    <row r="137" spans="1:14">
      <c r="A137" s="4" t="s">
        <v>59</v>
      </c>
      <c r="B137" s="4"/>
      <c r="C137" s="4"/>
      <c r="D137" s="18" t="s">
        <v>159</v>
      </c>
      <c r="E137" s="18" t="s">
        <v>187</v>
      </c>
      <c r="F137" s="18"/>
      <c r="G137" s="18"/>
      <c r="H137" s="18" t="s">
        <v>198</v>
      </c>
      <c r="I137" s="4"/>
      <c r="J137" s="13" t="str">
        <f t="shared" si="4"/>
        <v>=</v>
      </c>
      <c r="K137" s="20">
        <f>K136/(2*PI()*K85^2*K135)</f>
        <v>0.14903689092812911</v>
      </c>
      <c r="L137" s="6"/>
      <c r="M137" s="4"/>
      <c r="N137" s="4"/>
    </row>
    <row r="138" spans="1:14" ht="16.2">
      <c r="A138" s="4" t="s">
        <v>199</v>
      </c>
      <c r="B138" s="4"/>
      <c r="C138" s="4"/>
      <c r="D138" s="21" t="s">
        <v>255</v>
      </c>
      <c r="E138" s="18" t="s">
        <v>160</v>
      </c>
      <c r="F138" s="18"/>
      <c r="G138" s="18"/>
      <c r="H138" s="18"/>
      <c r="I138" s="4"/>
      <c r="J138" s="13" t="str">
        <f t="shared" si="4"/>
        <v>=</v>
      </c>
      <c r="K138" s="17">
        <f>K85/K97</f>
        <v>2.1186440677966103</v>
      </c>
      <c r="L138" s="6"/>
      <c r="M138" s="4"/>
      <c r="N138" s="4"/>
    </row>
    <row r="139" spans="1:14">
      <c r="A139" s="6" t="s">
        <v>63</v>
      </c>
      <c r="B139" s="6"/>
      <c r="C139" s="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>
      <c r="A140" s="4" t="s">
        <v>64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>
      <c r="A141" s="4" t="s">
        <v>65</v>
      </c>
      <c r="B141" s="4"/>
      <c r="C141" s="4"/>
      <c r="D141" s="5"/>
      <c r="E141" s="4"/>
      <c r="F141" s="4"/>
      <c r="G141" s="13" t="str">
        <f t="shared" ref="F141:J154" si="5">CONCATENATE("=")</f>
        <v>=</v>
      </c>
      <c r="H141" s="4"/>
      <c r="I141" s="4"/>
      <c r="J141" s="4"/>
      <c r="K141" s="4"/>
      <c r="L141" s="4"/>
      <c r="M141" s="4"/>
      <c r="N141" s="4"/>
    </row>
    <row r="142" spans="1:14">
      <c r="A142" s="5" t="s">
        <v>66</v>
      </c>
      <c r="B142" s="5"/>
      <c r="C142" s="5"/>
      <c r="D142" s="4"/>
      <c r="E142" s="4"/>
      <c r="F142" s="4"/>
      <c r="G142" s="13"/>
      <c r="H142" s="4"/>
      <c r="I142" s="4"/>
      <c r="J142" s="4"/>
      <c r="K142" s="4"/>
      <c r="L142" s="4"/>
      <c r="M142" s="4"/>
      <c r="N142" s="4"/>
    </row>
    <row r="143" spans="1:14">
      <c r="A143" s="4" t="s">
        <v>67</v>
      </c>
      <c r="B143" s="4"/>
      <c r="C143" s="4"/>
      <c r="D143" s="7"/>
      <c r="E143" s="15"/>
      <c r="F143" s="15"/>
      <c r="G143" s="7"/>
      <c r="H143" s="4"/>
      <c r="I143" s="15" t="s">
        <v>161</v>
      </c>
      <c r="J143" s="13">
        <v>0</v>
      </c>
      <c r="K143" s="4" t="s">
        <v>129</v>
      </c>
      <c r="L143" s="4" t="s">
        <v>118</v>
      </c>
      <c r="M143" s="21" t="s">
        <v>225</v>
      </c>
      <c r="N143" s="22">
        <v>0</v>
      </c>
    </row>
    <row r="144" spans="1:14" ht="15.6">
      <c r="A144" s="4" t="s">
        <v>200</v>
      </c>
      <c r="B144" s="4"/>
      <c r="C144" s="4"/>
      <c r="D144" s="4"/>
      <c r="E144" s="15" t="s">
        <v>226</v>
      </c>
      <c r="F144" s="45" t="s">
        <v>227</v>
      </c>
      <c r="G144" s="45"/>
      <c r="H144" s="45"/>
      <c r="I144" s="45"/>
      <c r="J144" s="15" t="s">
        <v>226</v>
      </c>
      <c r="K144" s="9">
        <v>0</v>
      </c>
      <c r="L144" s="4"/>
      <c r="M144" s="4"/>
      <c r="N144" s="4"/>
    </row>
    <row r="145" spans="1:14" ht="17.399999999999999">
      <c r="A145" s="4" t="s">
        <v>68</v>
      </c>
      <c r="B145" s="4"/>
      <c r="C145" s="4"/>
      <c r="D145" s="4"/>
      <c r="E145" s="14" t="s">
        <v>201</v>
      </c>
      <c r="F145" s="13" t="str">
        <f t="shared" si="5"/>
        <v>=</v>
      </c>
      <c r="G145" s="49" t="s">
        <v>224</v>
      </c>
      <c r="H145" s="49"/>
      <c r="I145" s="49"/>
      <c r="J145" s="13" t="str">
        <f t="shared" si="5"/>
        <v>=</v>
      </c>
      <c r="K145" s="9">
        <f>K71-K144</f>
        <v>6</v>
      </c>
      <c r="L145" s="4"/>
      <c r="M145" s="4"/>
      <c r="N145" s="4"/>
    </row>
    <row r="146" spans="1:14">
      <c r="A146" s="4" t="s">
        <v>202</v>
      </c>
      <c r="B146" s="4"/>
      <c r="C146" s="4"/>
      <c r="D146" s="4"/>
      <c r="E146" s="46" t="s">
        <v>228</v>
      </c>
      <c r="F146" s="46"/>
      <c r="G146" s="52" t="s">
        <v>203</v>
      </c>
      <c r="H146" s="52"/>
      <c r="I146" s="52"/>
      <c r="J146" s="13" t="str">
        <f t="shared" si="5"/>
        <v>=</v>
      </c>
      <c r="K146" s="33">
        <f>K105*K99*K145/(6*K103)*K114</f>
        <v>4544.1803955964333</v>
      </c>
      <c r="L146" s="4" t="s">
        <v>133</v>
      </c>
      <c r="M146" s="4"/>
      <c r="N146" s="4"/>
    </row>
    <row r="147" spans="1:14" ht="16.2">
      <c r="A147" s="4" t="s">
        <v>70</v>
      </c>
      <c r="B147" s="4"/>
      <c r="C147" s="4"/>
      <c r="D147" s="4"/>
      <c r="E147" s="46" t="s">
        <v>229</v>
      </c>
      <c r="F147" s="46"/>
      <c r="G147" s="45" t="s">
        <v>231</v>
      </c>
      <c r="H147" s="45"/>
      <c r="I147" s="45"/>
      <c r="J147" s="13" t="str">
        <f t="shared" si="5"/>
        <v>=</v>
      </c>
      <c r="K147" s="34">
        <f>PI()/(8)^0.5*K70*K103*(K98/K97)*K99*K114</f>
        <v>3142.0814576009916</v>
      </c>
      <c r="L147" s="6" t="s">
        <v>133</v>
      </c>
      <c r="M147" s="4"/>
      <c r="N147" s="4"/>
    </row>
    <row r="148" spans="1:14">
      <c r="A148" s="4" t="s">
        <v>71</v>
      </c>
      <c r="B148" s="4"/>
      <c r="C148" s="4"/>
      <c r="D148" s="4"/>
      <c r="E148" s="46" t="s">
        <v>230</v>
      </c>
      <c r="F148" s="46"/>
      <c r="G148" s="45" t="s">
        <v>232</v>
      </c>
      <c r="H148" s="45"/>
      <c r="I148" s="45"/>
      <c r="J148" s="13" t="str">
        <f t="shared" si="5"/>
        <v>=</v>
      </c>
      <c r="K148" s="34">
        <f>MIN(K146:K147)</f>
        <v>3142.0814576009916</v>
      </c>
      <c r="L148" s="4" t="s">
        <v>133</v>
      </c>
      <c r="M148" s="4"/>
      <c r="N148" s="4"/>
    </row>
    <row r="149" spans="1:14" ht="16.2">
      <c r="A149" s="4" t="s">
        <v>72</v>
      </c>
      <c r="B149" s="4"/>
      <c r="C149" s="4"/>
      <c r="D149" s="5"/>
      <c r="E149" s="14" t="s">
        <v>204</v>
      </c>
      <c r="F149" s="14"/>
      <c r="G149" s="14"/>
      <c r="H149" s="14"/>
      <c r="I149" s="4"/>
      <c r="J149" s="13" t="str">
        <f t="shared" si="5"/>
        <v>=</v>
      </c>
      <c r="K149" s="34">
        <f>K148/K87</f>
        <v>1047.3604858669971</v>
      </c>
      <c r="L149" s="4" t="s">
        <v>133</v>
      </c>
      <c r="M149" s="4"/>
      <c r="N149" s="4"/>
    </row>
    <row r="150" spans="1:14">
      <c r="A150" s="5" t="s">
        <v>73</v>
      </c>
      <c r="B150" s="5"/>
      <c r="C150" s="5"/>
      <c r="D150" s="4"/>
      <c r="E150" s="4"/>
      <c r="F150" s="4"/>
      <c r="G150" s="7"/>
      <c r="H150" s="4"/>
      <c r="I150" s="4"/>
      <c r="J150" s="13" t="str">
        <f t="shared" si="5"/>
        <v>=</v>
      </c>
      <c r="K150" s="4"/>
      <c r="L150" s="4"/>
      <c r="M150" s="4"/>
      <c r="N150" s="4"/>
    </row>
    <row r="151" spans="1:14">
      <c r="A151" s="4" t="s">
        <v>74</v>
      </c>
      <c r="B151" s="4"/>
      <c r="C151" s="4"/>
      <c r="D151" s="16" t="s">
        <v>237</v>
      </c>
      <c r="E151" s="16">
        <v>12</v>
      </c>
      <c r="F151" s="16" t="s">
        <v>129</v>
      </c>
      <c r="G151" s="16"/>
      <c r="H151" s="16"/>
      <c r="J151" s="13" t="str">
        <f t="shared" si="5"/>
        <v>=</v>
      </c>
      <c r="K151" s="4" t="s">
        <v>118</v>
      </c>
      <c r="L151" s="6" t="s">
        <v>236</v>
      </c>
      <c r="M151" s="9">
        <v>0</v>
      </c>
      <c r="N151" s="4"/>
    </row>
    <row r="152" spans="1:14">
      <c r="A152" s="4" t="s">
        <v>75</v>
      </c>
      <c r="B152" s="4"/>
      <c r="C152" s="4"/>
      <c r="D152" s="15" t="s">
        <v>234</v>
      </c>
      <c r="E152" s="16" t="s">
        <v>235</v>
      </c>
      <c r="F152" s="16">
        <v>12</v>
      </c>
      <c r="G152" s="16" t="s">
        <v>129</v>
      </c>
      <c r="I152" s="16"/>
      <c r="J152" s="13" t="str">
        <f t="shared" si="5"/>
        <v>=</v>
      </c>
      <c r="K152" s="20">
        <f>K116</f>
        <v>0.39100221895577075</v>
      </c>
      <c r="L152" s="4"/>
      <c r="M152" s="23"/>
      <c r="N152" s="4"/>
    </row>
    <row r="153" spans="1:14" ht="17.399999999999999">
      <c r="A153" s="4" t="s">
        <v>205</v>
      </c>
      <c r="B153" s="4"/>
      <c r="C153" s="4"/>
      <c r="D153" s="10" t="s">
        <v>246</v>
      </c>
      <c r="E153" s="16" t="str">
        <f>CONCATENATE("=")</f>
        <v>=</v>
      </c>
      <c r="F153" s="48" t="s">
        <v>238</v>
      </c>
      <c r="G153" s="48"/>
      <c r="H153" s="48"/>
      <c r="I153" s="48"/>
      <c r="J153" s="13" t="str">
        <f t="shared" si="5"/>
        <v>=</v>
      </c>
      <c r="K153" s="17">
        <f>E151/K97+(K98^2*M151)/(2*K77*K97)</f>
        <v>2.1186440677966103</v>
      </c>
      <c r="L153" s="4"/>
      <c r="M153" s="4"/>
      <c r="N153" s="4"/>
    </row>
    <row r="154" spans="1:14" ht="17.399999999999999">
      <c r="A154" s="4" t="s">
        <v>76</v>
      </c>
      <c r="B154" s="4"/>
      <c r="C154" s="4"/>
      <c r="D154" s="10" t="s">
        <v>201</v>
      </c>
      <c r="E154" s="16" t="str">
        <f>CONCATENATE("=")</f>
        <v>=</v>
      </c>
      <c r="F154" s="49" t="s">
        <v>239</v>
      </c>
      <c r="G154" s="49"/>
      <c r="H154" s="49"/>
      <c r="I154" s="49"/>
      <c r="J154" s="13" t="str">
        <f t="shared" si="5"/>
        <v>=</v>
      </c>
      <c r="K154" s="17">
        <f>K71-K153</f>
        <v>3.8813559322033897</v>
      </c>
      <c r="L154" s="4"/>
      <c r="M154" s="4"/>
      <c r="N154" s="4"/>
    </row>
    <row r="155" spans="1:14">
      <c r="A155" s="6" t="s">
        <v>49</v>
      </c>
      <c r="B155" s="4"/>
      <c r="C155" s="4"/>
      <c r="D155" s="4"/>
      <c r="E155" s="4"/>
      <c r="F155" s="4"/>
      <c r="G155" s="7"/>
      <c r="H155" s="7"/>
      <c r="I155" s="7"/>
      <c r="J155" s="7"/>
      <c r="K155" s="7"/>
      <c r="L155" s="7"/>
      <c r="M155" s="7"/>
      <c r="N155" s="4"/>
    </row>
    <row r="156" spans="1:14">
      <c r="A156" s="47" t="s">
        <v>119</v>
      </c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"/>
    </row>
    <row r="157" spans="1:14">
      <c r="A157" s="4" t="s">
        <v>77</v>
      </c>
      <c r="B157" s="4"/>
      <c r="C157" s="4"/>
      <c r="D157" s="4"/>
      <c r="E157" s="4"/>
      <c r="F157" s="4"/>
      <c r="G157" s="7"/>
      <c r="H157" s="4"/>
      <c r="I157" s="4"/>
      <c r="J157" s="4"/>
      <c r="K157" s="4"/>
      <c r="M157" s="4"/>
      <c r="N157" s="4"/>
    </row>
    <row r="158" spans="1:14">
      <c r="A158" s="4" t="s">
        <v>69</v>
      </c>
      <c r="B158" s="4"/>
      <c r="C158" s="4"/>
      <c r="D158" s="4"/>
      <c r="E158" s="15" t="s">
        <v>240</v>
      </c>
      <c r="F158" s="15"/>
      <c r="G158" s="15"/>
      <c r="H158" s="15"/>
      <c r="I158" s="15" t="s">
        <v>241</v>
      </c>
      <c r="J158" s="13" t="str">
        <f t="shared" ref="J158:J194" si="6">CONCATENATE("=")</f>
        <v>=</v>
      </c>
      <c r="K158" s="30">
        <f>1.25*K105*K99*K154/(6*K103)*K152</f>
        <v>1436.736149453021</v>
      </c>
      <c r="L158" t="s">
        <v>133</v>
      </c>
      <c r="M158" s="4"/>
      <c r="N158" s="4"/>
    </row>
    <row r="159" spans="1:14">
      <c r="A159" s="4" t="s">
        <v>78</v>
      </c>
      <c r="B159" s="4"/>
      <c r="C159" s="4"/>
      <c r="D159" s="15" t="s">
        <v>242</v>
      </c>
      <c r="E159" s="15" t="s">
        <v>243</v>
      </c>
      <c r="F159" s="15"/>
      <c r="G159" s="15"/>
      <c r="H159" s="15"/>
      <c r="I159" s="3" t="s">
        <v>244</v>
      </c>
      <c r="J159" s="13" t="str">
        <f t="shared" si="6"/>
        <v>=</v>
      </c>
      <c r="K159" s="35">
        <f xml:space="preserve"> 1.25*PI()/(8)^0.5*K70*K103*(K98/K97)*K99*K152</f>
        <v>1535.7010275772129</v>
      </c>
      <c r="L159" t="s">
        <v>133</v>
      </c>
      <c r="M159" s="4"/>
      <c r="N159" s="4"/>
    </row>
    <row r="160" spans="1:14" ht="15.6">
      <c r="A160" s="4" t="s">
        <v>71</v>
      </c>
      <c r="B160" s="4"/>
      <c r="C160" s="4"/>
      <c r="D160" s="6" t="s">
        <v>245</v>
      </c>
      <c r="E160" s="31"/>
      <c r="F160" s="50" t="s">
        <v>247</v>
      </c>
      <c r="G160" s="50"/>
      <c r="H160" s="50"/>
      <c r="I160" s="50"/>
      <c r="J160" s="13" t="str">
        <f t="shared" si="6"/>
        <v>=</v>
      </c>
      <c r="K160" s="34">
        <f>MIN(K158:K159)</f>
        <v>1436.736149453021</v>
      </c>
      <c r="L160" t="s">
        <v>133</v>
      </c>
      <c r="M160" s="4"/>
      <c r="N160" s="4"/>
    </row>
    <row r="161" spans="1:14" ht="16.2">
      <c r="A161" s="4" t="s">
        <v>79</v>
      </c>
      <c r="B161" s="4"/>
      <c r="C161" s="4"/>
      <c r="D161" s="4"/>
      <c r="E161" s="6" t="s">
        <v>245</v>
      </c>
      <c r="F161" s="6"/>
      <c r="G161" s="7" t="s">
        <v>248</v>
      </c>
      <c r="H161" s="4"/>
      <c r="I161" s="4"/>
      <c r="J161" s="13" t="str">
        <f t="shared" si="6"/>
        <v>=</v>
      </c>
      <c r="K161" s="32">
        <f>K160/K101</f>
        <v>3.2827888775250216</v>
      </c>
      <c r="M161" s="4"/>
      <c r="N161" s="13"/>
    </row>
    <row r="162" spans="1:14">
      <c r="A162" s="4"/>
      <c r="B162" s="4"/>
      <c r="C162" s="4"/>
      <c r="D162" s="4"/>
      <c r="E162" s="4"/>
      <c r="F162" s="4"/>
      <c r="G162" s="7"/>
      <c r="H162" s="4"/>
      <c r="I162" s="4"/>
      <c r="J162" s="13" t="str">
        <f t="shared" si="6"/>
        <v>=</v>
      </c>
      <c r="K162" s="4"/>
      <c r="M162" s="4"/>
      <c r="N162" s="4"/>
    </row>
    <row r="163" spans="1:14">
      <c r="A163" s="4"/>
      <c r="B163" s="4"/>
      <c r="C163" s="4"/>
      <c r="D163" s="4"/>
      <c r="E163" s="4"/>
      <c r="F163" s="4"/>
      <c r="G163" s="7"/>
      <c r="H163" s="4"/>
      <c r="I163" s="4"/>
      <c r="J163" s="13"/>
      <c r="K163" s="4"/>
      <c r="L163" s="13"/>
      <c r="M163" s="4"/>
      <c r="N163" s="4"/>
    </row>
    <row r="164" spans="1:14">
      <c r="A164" s="4"/>
      <c r="B164" s="4"/>
      <c r="C164" s="4"/>
      <c r="D164" s="4"/>
      <c r="E164" s="4"/>
      <c r="F164" s="4"/>
      <c r="G164" s="7"/>
      <c r="H164" s="4"/>
      <c r="I164" s="4"/>
      <c r="J164" s="4"/>
      <c r="K164" s="4"/>
      <c r="L164" s="13"/>
      <c r="M164" s="4"/>
      <c r="N164" s="4"/>
    </row>
    <row r="165" spans="1:14">
      <c r="A165" s="4"/>
      <c r="B165" s="4"/>
      <c r="C165" s="4"/>
      <c r="D165" s="4"/>
      <c r="E165" s="4"/>
      <c r="F165" s="4"/>
      <c r="G165" s="7"/>
      <c r="H165" s="4"/>
      <c r="I165" s="4"/>
      <c r="J165" s="4"/>
      <c r="K165" s="7"/>
      <c r="L165" s="13"/>
      <c r="M165" s="4"/>
      <c r="N165" s="4"/>
    </row>
    <row r="166" spans="1:14" ht="15.6">
      <c r="A166" s="24" t="s">
        <v>80</v>
      </c>
      <c r="B166" s="24"/>
      <c r="C166" s="4"/>
      <c r="D166" s="4"/>
      <c r="E166" s="4"/>
      <c r="F166" s="4"/>
      <c r="G166" s="7"/>
      <c r="H166" s="4"/>
      <c r="I166" s="4"/>
      <c r="J166" s="4"/>
      <c r="K166" s="7"/>
      <c r="L166" s="13"/>
      <c r="M166" s="4"/>
      <c r="N166" s="4"/>
    </row>
    <row r="167" spans="1:14">
      <c r="A167" s="5" t="s">
        <v>81</v>
      </c>
      <c r="B167" s="5"/>
      <c r="C167" s="6"/>
      <c r="D167" s="4"/>
      <c r="E167" s="4"/>
      <c r="F167" s="4"/>
      <c r="M167" s="4"/>
      <c r="N167" s="4"/>
    </row>
    <row r="168" spans="1:14">
      <c r="A168" s="4" t="s">
        <v>9</v>
      </c>
      <c r="B168" s="4"/>
      <c r="C168" s="4"/>
      <c r="D168" s="4"/>
      <c r="E168" s="4"/>
      <c r="F168" s="4"/>
      <c r="G168" s="4"/>
      <c r="H168" s="4"/>
      <c r="I168" s="4" t="s">
        <v>120</v>
      </c>
      <c r="J168" s="13" t="str">
        <f t="shared" si="6"/>
        <v>=</v>
      </c>
      <c r="K168" s="31">
        <f>K73</f>
        <v>25.5</v>
      </c>
      <c r="L168" s="31" t="s">
        <v>129</v>
      </c>
      <c r="M168" s="4"/>
      <c r="N168" s="4"/>
    </row>
    <row r="169" spans="1:14">
      <c r="A169" s="4" t="s">
        <v>10</v>
      </c>
      <c r="B169" s="4"/>
      <c r="C169" s="4"/>
      <c r="D169" s="4"/>
      <c r="E169" s="4"/>
      <c r="F169" s="4"/>
      <c r="G169" s="4"/>
      <c r="H169" s="4"/>
      <c r="I169" s="4" t="s">
        <v>121</v>
      </c>
      <c r="J169" s="13" t="str">
        <f t="shared" si="6"/>
        <v>=</v>
      </c>
      <c r="K169" s="31">
        <f>K74</f>
        <v>24</v>
      </c>
      <c r="L169" s="31" t="s">
        <v>129</v>
      </c>
      <c r="M169" s="4"/>
      <c r="N169" s="4"/>
    </row>
    <row r="170" spans="1:14">
      <c r="A170" s="4" t="s">
        <v>11</v>
      </c>
      <c r="B170" s="4"/>
      <c r="C170" s="4"/>
      <c r="D170" s="4"/>
      <c r="E170" s="4"/>
      <c r="F170" s="4"/>
      <c r="G170" s="4"/>
      <c r="H170" s="4"/>
      <c r="I170" s="4" t="s">
        <v>1</v>
      </c>
      <c r="J170" s="13" t="str">
        <f t="shared" si="6"/>
        <v>=</v>
      </c>
      <c r="K170" s="31">
        <f>K75</f>
        <v>4.3310000000000004</v>
      </c>
      <c r="L170" s="31" t="s">
        <v>129</v>
      </c>
      <c r="M170" s="4"/>
      <c r="N170" s="4"/>
    </row>
    <row r="171" spans="1:14" ht="15.6">
      <c r="A171" s="4" t="s">
        <v>12</v>
      </c>
      <c r="B171" s="4"/>
      <c r="C171" s="4"/>
      <c r="D171" s="4"/>
      <c r="E171" s="4"/>
      <c r="F171" s="4"/>
      <c r="G171" s="4"/>
      <c r="H171" s="4"/>
      <c r="I171" s="23" t="s">
        <v>206</v>
      </c>
      <c r="J171" s="13" t="str">
        <f t="shared" si="6"/>
        <v>=</v>
      </c>
      <c r="K171" s="31">
        <f>K76</f>
        <v>0.1196</v>
      </c>
      <c r="L171" s="31" t="s">
        <v>129</v>
      </c>
      <c r="M171" s="4"/>
      <c r="N171" s="4"/>
    </row>
    <row r="172" spans="1:14" ht="15.6">
      <c r="A172" s="4" t="s">
        <v>83</v>
      </c>
      <c r="B172" s="4"/>
      <c r="C172" s="4"/>
      <c r="D172" s="4"/>
      <c r="E172" s="4"/>
      <c r="F172" s="4"/>
      <c r="G172" s="4"/>
      <c r="H172" s="4"/>
      <c r="I172" s="23" t="s">
        <v>207</v>
      </c>
      <c r="J172" s="13" t="str">
        <f t="shared" si="6"/>
        <v>=</v>
      </c>
      <c r="K172" s="31">
        <f>K77</f>
        <v>0.23599999999999999</v>
      </c>
      <c r="L172" s="31" t="s">
        <v>129</v>
      </c>
      <c r="M172" s="4"/>
      <c r="N172" s="4"/>
    </row>
    <row r="173" spans="1:14">
      <c r="A173" s="4" t="s">
        <v>13</v>
      </c>
      <c r="B173" s="4"/>
      <c r="C173" s="4"/>
      <c r="D173" s="4"/>
      <c r="E173" s="4"/>
      <c r="F173" s="4"/>
      <c r="G173" s="4"/>
      <c r="H173" s="4"/>
      <c r="I173" s="23" t="s">
        <v>0</v>
      </c>
      <c r="J173" s="13" t="str">
        <f t="shared" si="6"/>
        <v>=</v>
      </c>
      <c r="K173" s="31">
        <f>K78/25.4</f>
        <v>0.75000000000000011</v>
      </c>
      <c r="L173" s="31" t="s">
        <v>129</v>
      </c>
      <c r="M173" s="4"/>
      <c r="N173" s="4"/>
    </row>
    <row r="174" spans="1:14" ht="15.6">
      <c r="A174" s="4" t="s">
        <v>14</v>
      </c>
      <c r="B174" s="4"/>
      <c r="C174" s="4"/>
      <c r="D174" s="4"/>
      <c r="E174" s="4"/>
      <c r="F174" s="4"/>
      <c r="G174" s="4"/>
      <c r="H174" s="4"/>
      <c r="I174" s="23" t="s">
        <v>208</v>
      </c>
      <c r="J174" s="13" t="str">
        <f t="shared" si="6"/>
        <v>=</v>
      </c>
      <c r="K174" s="31">
        <f>K79</f>
        <v>1</v>
      </c>
      <c r="L174" s="31" t="s">
        <v>129</v>
      </c>
      <c r="M174" s="4"/>
      <c r="N174" s="4"/>
    </row>
    <row r="175" spans="1:14" ht="15.6">
      <c r="A175" s="4" t="s">
        <v>15</v>
      </c>
      <c r="B175" s="4"/>
      <c r="C175" s="4"/>
      <c r="D175" s="4"/>
      <c r="E175" s="4"/>
      <c r="F175" s="4"/>
      <c r="G175" s="4"/>
      <c r="H175" s="4"/>
      <c r="I175" s="23" t="s">
        <v>209</v>
      </c>
      <c r="J175" s="13" t="str">
        <f t="shared" si="6"/>
        <v>=</v>
      </c>
      <c r="K175" s="31">
        <f>K80</f>
        <v>1</v>
      </c>
      <c r="L175" s="31" t="s">
        <v>129</v>
      </c>
      <c r="M175" s="4"/>
      <c r="N175" s="4"/>
    </row>
    <row r="176" spans="1:14" ht="15.6">
      <c r="A176" s="4" t="s">
        <v>16</v>
      </c>
      <c r="B176" s="4"/>
      <c r="C176" s="4"/>
      <c r="D176" s="4"/>
      <c r="E176" s="4"/>
      <c r="F176" s="4"/>
      <c r="G176" s="4"/>
      <c r="H176" s="4"/>
      <c r="I176" s="23" t="s">
        <v>210</v>
      </c>
      <c r="J176" s="13" t="str">
        <f t="shared" si="6"/>
        <v>=</v>
      </c>
      <c r="K176" s="31">
        <f>K81</f>
        <v>1</v>
      </c>
      <c r="L176" s="31" t="s">
        <v>129</v>
      </c>
      <c r="M176" s="4"/>
      <c r="N176" s="4"/>
    </row>
    <row r="177" spans="1:14" ht="15.6">
      <c r="A177" s="4" t="s">
        <v>82</v>
      </c>
      <c r="B177" s="4"/>
      <c r="C177" s="4"/>
      <c r="D177" s="4"/>
      <c r="E177" s="4"/>
      <c r="F177" s="4"/>
      <c r="G177" s="4"/>
      <c r="H177" s="4"/>
      <c r="I177" s="23" t="s">
        <v>211</v>
      </c>
      <c r="J177" s="13" t="str">
        <f t="shared" si="6"/>
        <v>=</v>
      </c>
      <c r="K177" s="36">
        <f>K82/25.4</f>
        <v>12.4148</v>
      </c>
      <c r="L177" s="31" t="s">
        <v>129</v>
      </c>
      <c r="M177" s="4"/>
      <c r="N177" s="4"/>
    </row>
    <row r="178" spans="1:14">
      <c r="A178" s="5" t="s">
        <v>84</v>
      </c>
      <c r="B178" s="5"/>
      <c r="C178" s="4"/>
      <c r="D178" s="4"/>
      <c r="E178" s="4"/>
      <c r="F178" s="4"/>
      <c r="G178" s="4"/>
      <c r="H178" s="4"/>
      <c r="I178" s="4"/>
      <c r="J178" s="13" t="str">
        <f t="shared" si="6"/>
        <v>=</v>
      </c>
      <c r="K178" s="31"/>
      <c r="L178" s="31"/>
      <c r="M178" s="4"/>
      <c r="N178" s="4"/>
    </row>
    <row r="179" spans="1:14">
      <c r="A179" s="4" t="s">
        <v>85</v>
      </c>
      <c r="B179" s="4"/>
      <c r="C179" s="4"/>
      <c r="D179" s="4"/>
      <c r="E179" s="4"/>
      <c r="F179" s="4"/>
      <c r="G179" s="4"/>
      <c r="H179" s="4"/>
      <c r="I179" s="4" t="s">
        <v>212</v>
      </c>
      <c r="J179" s="13" t="str">
        <f t="shared" si="6"/>
        <v>=</v>
      </c>
      <c r="K179" s="37">
        <f>K84</f>
        <v>6</v>
      </c>
      <c r="L179" s="31" t="s">
        <v>129</v>
      </c>
      <c r="M179" s="4"/>
      <c r="N179" s="4"/>
    </row>
    <row r="180" spans="1:14">
      <c r="A180" s="4" t="s">
        <v>86</v>
      </c>
      <c r="B180" s="4"/>
      <c r="C180" s="4"/>
      <c r="D180" s="4"/>
      <c r="E180" s="4"/>
      <c r="F180" s="4"/>
      <c r="G180" s="4"/>
      <c r="H180" s="4"/>
      <c r="I180" s="4" t="s">
        <v>213</v>
      </c>
      <c r="J180" s="13" t="str">
        <f t="shared" si="6"/>
        <v>=</v>
      </c>
      <c r="K180" s="37">
        <f>K85</f>
        <v>12</v>
      </c>
      <c r="L180" s="31" t="s">
        <v>129</v>
      </c>
      <c r="M180" s="4"/>
      <c r="N180" s="4"/>
    </row>
    <row r="181" spans="1:14">
      <c r="A181" s="4" t="s">
        <v>87</v>
      </c>
      <c r="B181" s="4"/>
      <c r="C181" s="4"/>
      <c r="D181" s="4"/>
      <c r="E181" s="4"/>
      <c r="F181" s="4"/>
      <c r="G181" s="4"/>
      <c r="H181" s="4"/>
      <c r="I181" s="4" t="s">
        <v>114</v>
      </c>
      <c r="J181" s="13" t="str">
        <f t="shared" si="6"/>
        <v>=</v>
      </c>
      <c r="K181" s="38">
        <f>K118</f>
        <v>5.2539512901480414</v>
      </c>
      <c r="L181" s="31" t="s">
        <v>148</v>
      </c>
      <c r="M181" s="4">
        <f>K181*4.44822*(100/2.54)</f>
        <v>920.1075278685953</v>
      </c>
      <c r="N181" s="23" t="s">
        <v>267</v>
      </c>
    </row>
    <row r="182" spans="1:14">
      <c r="A182" s="4" t="s">
        <v>51</v>
      </c>
      <c r="B182" s="4"/>
      <c r="C182" s="4"/>
      <c r="D182" s="4"/>
      <c r="E182" s="4"/>
      <c r="F182" s="4"/>
      <c r="G182" s="4"/>
      <c r="H182" s="4"/>
      <c r="I182" s="4" t="s">
        <v>122</v>
      </c>
      <c r="J182" s="13" t="str">
        <f t="shared" si="6"/>
        <v>=</v>
      </c>
      <c r="K182" s="38">
        <f>K122</f>
        <v>52.539512901480414</v>
      </c>
      <c r="L182" s="31" t="s">
        <v>148</v>
      </c>
      <c r="M182" s="4">
        <f>K182*4.44822*(100/2.54)</f>
        <v>9201.0752786859539</v>
      </c>
      <c r="N182" s="23" t="s">
        <v>267</v>
      </c>
    </row>
    <row r="183" spans="1:14">
      <c r="A183" s="4" t="s">
        <v>88</v>
      </c>
      <c r="B183" s="4"/>
      <c r="C183" s="4"/>
      <c r="D183" s="4"/>
      <c r="E183" s="4"/>
      <c r="F183" s="4"/>
      <c r="G183" s="4"/>
      <c r="H183" s="4"/>
      <c r="I183" s="4" t="s">
        <v>115</v>
      </c>
      <c r="J183" s="13" t="str">
        <f t="shared" si="6"/>
        <v>=</v>
      </c>
      <c r="K183" s="37">
        <f>K123</f>
        <v>19.151800146980285</v>
      </c>
      <c r="L183" s="31" t="s">
        <v>133</v>
      </c>
      <c r="M183" s="4">
        <f>K183*4.44822</f>
        <v>85.191420449800646</v>
      </c>
      <c r="N183" s="23" t="s">
        <v>268</v>
      </c>
    </row>
    <row r="184" spans="1:14">
      <c r="A184" s="4" t="s">
        <v>262</v>
      </c>
      <c r="B184" s="4"/>
      <c r="C184" s="4"/>
      <c r="D184" s="4"/>
      <c r="E184" s="4"/>
      <c r="F184" s="4"/>
      <c r="G184" s="4"/>
      <c r="H184" s="4"/>
      <c r="I184" s="4" t="s">
        <v>116</v>
      </c>
      <c r="J184" s="13" t="str">
        <f t="shared" si="6"/>
        <v>=</v>
      </c>
      <c r="K184" s="37">
        <f>K124</f>
        <v>21.279777941089208</v>
      </c>
      <c r="L184" s="31" t="s">
        <v>133</v>
      </c>
      <c r="M184" s="4">
        <f>K184*4.44822</f>
        <v>94.657133833111843</v>
      </c>
      <c r="N184" s="23" t="s">
        <v>268</v>
      </c>
    </row>
    <row r="185" spans="1:14">
      <c r="A185" s="4" t="s">
        <v>89</v>
      </c>
      <c r="B185" s="4"/>
      <c r="C185" s="4"/>
      <c r="D185" s="4"/>
      <c r="E185" s="4"/>
      <c r="F185" s="4"/>
      <c r="G185" s="4"/>
      <c r="H185" s="4"/>
      <c r="I185" s="4" t="s">
        <v>214</v>
      </c>
      <c r="J185" s="13" t="str">
        <f t="shared" si="6"/>
        <v>=</v>
      </c>
      <c r="K185" s="38">
        <f>K125</f>
        <v>0.40502427156094939</v>
      </c>
      <c r="L185" s="31" t="s">
        <v>129</v>
      </c>
      <c r="M185" s="4"/>
      <c r="N185" s="4"/>
    </row>
    <row r="186" spans="1:14">
      <c r="A186" s="4" t="s">
        <v>90</v>
      </c>
      <c r="B186" s="4"/>
      <c r="C186" s="4"/>
      <c r="D186" s="4"/>
      <c r="E186" s="4"/>
      <c r="F186" s="4"/>
      <c r="G186" s="4"/>
      <c r="H186" s="4"/>
      <c r="I186" s="4" t="s">
        <v>263</v>
      </c>
      <c r="J186" s="40" t="str">
        <f t="shared" si="6"/>
        <v>=</v>
      </c>
      <c r="K186" s="35">
        <f>K107</f>
        <v>10468.886459030669</v>
      </c>
      <c r="L186" s="31" t="s">
        <v>148</v>
      </c>
      <c r="M186" s="4">
        <f>K186*4.44822*(100/2.54)</f>
        <v>1833382.2883775358</v>
      </c>
      <c r="N186" s="23" t="s">
        <v>267</v>
      </c>
    </row>
    <row r="187" spans="1:14">
      <c r="A187" s="4" t="s">
        <v>56</v>
      </c>
      <c r="B187" s="4"/>
      <c r="C187" s="4"/>
      <c r="D187" s="4"/>
      <c r="E187" s="4"/>
      <c r="F187" s="4"/>
      <c r="G187" s="4"/>
      <c r="H187" s="4"/>
      <c r="I187" s="4" t="s">
        <v>215</v>
      </c>
      <c r="J187" s="13" t="str">
        <f t="shared" si="6"/>
        <v>=</v>
      </c>
      <c r="K187" s="36">
        <f>K127</f>
        <v>50.675507887868534</v>
      </c>
      <c r="L187" s="31" t="s">
        <v>133</v>
      </c>
      <c r="M187" s="4"/>
      <c r="N187" s="4"/>
    </row>
    <row r="188" spans="1:14">
      <c r="A188" s="4" t="s">
        <v>91</v>
      </c>
      <c r="B188" s="4"/>
      <c r="C188" s="4"/>
      <c r="D188" s="4"/>
      <c r="E188" s="4"/>
      <c r="F188" s="4"/>
      <c r="G188" s="4"/>
      <c r="H188" s="4"/>
      <c r="I188" s="4" t="s">
        <v>216</v>
      </c>
      <c r="J188" s="13" t="str">
        <f t="shared" si="6"/>
        <v>=</v>
      </c>
      <c r="K188" s="38">
        <f>K128</f>
        <v>8.4459179813114229</v>
      </c>
      <c r="L188" s="31" t="s">
        <v>148</v>
      </c>
      <c r="M188" s="4">
        <f>K188*4.44822*(100/2.54)</f>
        <v>1479.106349717681</v>
      </c>
      <c r="N188" s="23" t="s">
        <v>267</v>
      </c>
    </row>
    <row r="189" spans="1:14">
      <c r="A189" s="4" t="s">
        <v>92</v>
      </c>
      <c r="B189" s="4"/>
      <c r="C189" s="4"/>
      <c r="D189" s="4"/>
      <c r="E189" s="4"/>
      <c r="F189" s="4"/>
      <c r="G189" s="4"/>
      <c r="H189" s="4"/>
      <c r="I189" s="4" t="s">
        <v>217</v>
      </c>
      <c r="J189" s="13" t="str">
        <f t="shared" si="6"/>
        <v>=</v>
      </c>
      <c r="K189" s="37">
        <f>K129</f>
        <v>428.61542791308051</v>
      </c>
      <c r="L189" s="31" t="s">
        <v>156</v>
      </c>
      <c r="M189" s="4"/>
      <c r="N189" s="4"/>
    </row>
    <row r="190" spans="1:14" ht="15.6">
      <c r="A190" s="4" t="s">
        <v>93</v>
      </c>
      <c r="B190" s="4"/>
      <c r="C190" s="4"/>
      <c r="D190" s="4"/>
      <c r="E190" s="4"/>
      <c r="F190" s="4"/>
      <c r="G190" s="4"/>
      <c r="H190" s="4"/>
      <c r="I190" s="6" t="s">
        <v>252</v>
      </c>
      <c r="J190" s="13" t="str">
        <f t="shared" si="6"/>
        <v>=</v>
      </c>
      <c r="K190" s="36">
        <f>K130</f>
        <v>0.22435645568255971</v>
      </c>
      <c r="L190" s="31"/>
      <c r="M190" s="4"/>
      <c r="N190" s="4"/>
    </row>
    <row r="191" spans="1:14" ht="15.6">
      <c r="A191" s="4" t="s">
        <v>94</v>
      </c>
      <c r="B191" s="4"/>
      <c r="C191" s="4"/>
      <c r="D191" s="4"/>
      <c r="E191" s="4"/>
      <c r="F191" s="4"/>
      <c r="G191" s="4"/>
      <c r="H191" s="4"/>
      <c r="I191" s="6" t="s">
        <v>253</v>
      </c>
      <c r="J191" s="13" t="str">
        <f t="shared" si="6"/>
        <v>=</v>
      </c>
      <c r="K191" s="38">
        <f>K131</f>
        <v>1.0593220338983051</v>
      </c>
      <c r="L191" s="31"/>
      <c r="M191" s="4"/>
      <c r="N191" s="4"/>
    </row>
    <row r="192" spans="1:14" ht="15.6">
      <c r="A192" s="4" t="s">
        <v>95</v>
      </c>
      <c r="B192" s="4"/>
      <c r="C192" s="4"/>
      <c r="D192" s="4"/>
      <c r="E192" s="4"/>
      <c r="F192" s="4"/>
      <c r="G192" s="4"/>
      <c r="H192" s="4"/>
      <c r="I192" s="6" t="s">
        <v>256</v>
      </c>
      <c r="J192" s="13" t="str">
        <f t="shared" si="6"/>
        <v>=</v>
      </c>
      <c r="K192" s="38">
        <f>K138</f>
        <v>2.1186440677966103</v>
      </c>
      <c r="L192" s="31"/>
      <c r="M192" s="4"/>
      <c r="N192" s="4"/>
    </row>
    <row r="193" spans="1:14">
      <c r="A193" s="4" t="s">
        <v>96</v>
      </c>
      <c r="B193" s="4"/>
      <c r="C193" s="4"/>
      <c r="D193" s="4"/>
      <c r="E193" s="4"/>
      <c r="F193" s="4"/>
      <c r="G193" s="13" t="s">
        <v>218</v>
      </c>
      <c r="H193" s="13"/>
      <c r="I193" s="13"/>
      <c r="J193" s="13" t="str">
        <f t="shared" si="6"/>
        <v>=</v>
      </c>
      <c r="K193" s="35">
        <f>K149</f>
        <v>1047.3604858669971</v>
      </c>
      <c r="L193" s="31" t="s">
        <v>133</v>
      </c>
      <c r="M193" s="4">
        <f>K193*4.44822</f>
        <v>4658.8898604432943</v>
      </c>
      <c r="N193" s="4" t="s">
        <v>268</v>
      </c>
    </row>
    <row r="194" spans="1:14">
      <c r="A194" s="4" t="s">
        <v>97</v>
      </c>
      <c r="B194" s="4"/>
      <c r="C194" s="4"/>
      <c r="D194" s="4"/>
      <c r="E194" s="4"/>
      <c r="F194" s="4"/>
      <c r="G194" s="13" t="s">
        <v>219</v>
      </c>
      <c r="H194" s="13"/>
      <c r="I194" s="13"/>
      <c r="J194" s="13" t="str">
        <f t="shared" si="6"/>
        <v>=</v>
      </c>
      <c r="K194" s="34">
        <f>K160</f>
        <v>1436.736149453021</v>
      </c>
      <c r="L194" s="6" t="s">
        <v>133</v>
      </c>
      <c r="M194" s="4">
        <f>K194*4.44822</f>
        <v>6390.918474719917</v>
      </c>
      <c r="N194" s="4" t="s">
        <v>268</v>
      </c>
    </row>
    <row r="195" spans="1: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>
      <c r="A196" s="4"/>
      <c r="B196" s="4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</row>
    <row r="374" spans="1:14">
      <c r="A374" s="1"/>
      <c r="B374" s="1"/>
      <c r="C374" s="1"/>
    </row>
  </sheetData>
  <mergeCells count="39">
    <mergeCell ref="E104:F104"/>
    <mergeCell ref="A1:N1"/>
    <mergeCell ref="D25:J25"/>
    <mergeCell ref="E65:I65"/>
    <mergeCell ref="D82:I82"/>
    <mergeCell ref="E84:I84"/>
    <mergeCell ref="E85:I85"/>
    <mergeCell ref="D95:I95"/>
    <mergeCell ref="E99:F99"/>
    <mergeCell ref="E100:F100"/>
    <mergeCell ref="E101:F101"/>
    <mergeCell ref="E102:F102"/>
    <mergeCell ref="F22:H22"/>
    <mergeCell ref="F64:H64"/>
    <mergeCell ref="H136:I136"/>
    <mergeCell ref="G105:I105"/>
    <mergeCell ref="G106:J106"/>
    <mergeCell ref="E107:G107"/>
    <mergeCell ref="F114:J114"/>
    <mergeCell ref="E128:G128"/>
    <mergeCell ref="E129:G129"/>
    <mergeCell ref="E130:H130"/>
    <mergeCell ref="E134:G134"/>
    <mergeCell ref="A135:C135"/>
    <mergeCell ref="E135:G135"/>
    <mergeCell ref="H135:I135"/>
    <mergeCell ref="F160:I160"/>
    <mergeCell ref="F144:I144"/>
    <mergeCell ref="G145:I145"/>
    <mergeCell ref="E146:F146"/>
    <mergeCell ref="G146:I146"/>
    <mergeCell ref="E147:F147"/>
    <mergeCell ref="G147:I147"/>
    <mergeCell ref="E148:F148"/>
    <mergeCell ref="G148:I148"/>
    <mergeCell ref="F153:I153"/>
    <mergeCell ref="F154:I154"/>
    <mergeCell ref="A156:M156"/>
    <mergeCell ref="E136:G13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74"/>
  <sheetViews>
    <sheetView tabSelected="1" workbookViewId="0">
      <selection activeCell="D28" sqref="D28"/>
    </sheetView>
  </sheetViews>
  <sheetFormatPr defaultRowHeight="14.4"/>
  <cols>
    <col min="6" max="6" width="9.109375" customWidth="1"/>
    <col min="9" max="10" width="10" customWidth="1"/>
    <col min="11" max="11" width="9" customWidth="1"/>
  </cols>
  <sheetData>
    <row r="1" spans="1:14" ht="17.399999999999999">
      <c r="A1" s="53" t="s">
        <v>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>
      <c r="A2" s="7"/>
      <c r="B2" s="7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5.6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23" t="s">
        <v>257</v>
      </c>
      <c r="N5" s="12"/>
    </row>
    <row r="6" spans="1:14" ht="15.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23" t="s">
        <v>258</v>
      </c>
      <c r="N6" s="12"/>
    </row>
    <row r="7" spans="1:14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23" t="s">
        <v>106</v>
      </c>
      <c r="N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14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5.6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23" t="s">
        <v>209</v>
      </c>
      <c r="N19" s="12"/>
    </row>
    <row r="20" spans="1:14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5.6">
      <c r="A22" s="12"/>
      <c r="B22" s="12"/>
      <c r="C22" s="12"/>
      <c r="D22" s="12"/>
      <c r="E22" s="12"/>
      <c r="F22" s="43" t="s">
        <v>270</v>
      </c>
      <c r="G22" s="43"/>
      <c r="H22" s="43"/>
      <c r="I22" s="12"/>
      <c r="J22" s="12"/>
      <c r="K22" s="12"/>
      <c r="L22" s="12"/>
      <c r="M22" s="12"/>
      <c r="N22" s="12"/>
    </row>
    <row r="23" spans="1:14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15.6">
      <c r="A25" s="7"/>
      <c r="B25" s="7"/>
      <c r="C25" s="7"/>
      <c r="D25" s="55" t="s">
        <v>259</v>
      </c>
      <c r="E25" s="55"/>
      <c r="F25" s="55"/>
      <c r="G25" s="55"/>
      <c r="H25" s="55"/>
      <c r="I25" s="55"/>
      <c r="J25" s="55"/>
      <c r="K25" s="7"/>
      <c r="L25" s="7"/>
      <c r="M25" s="7"/>
      <c r="N25" s="7"/>
    </row>
    <row r="26" spans="1:14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1:1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1:1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1:14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1:1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>
      <c r="A38" s="7"/>
      <c r="B38" s="7"/>
      <c r="C38" s="12"/>
      <c r="D38" s="12"/>
      <c r="E38" s="12"/>
      <c r="F38" s="12"/>
      <c r="G38" s="12"/>
      <c r="H38" s="12"/>
      <c r="I38" s="12"/>
      <c r="J38" s="12"/>
      <c r="K38" s="12"/>
      <c r="L38" s="7"/>
      <c r="M38" s="7"/>
      <c r="N38" s="7"/>
    </row>
    <row r="39" spans="1:14" ht="15.6">
      <c r="A39" s="7"/>
      <c r="B39" s="7"/>
      <c r="C39" s="12"/>
      <c r="D39" s="12"/>
      <c r="E39" s="12"/>
      <c r="F39" s="12"/>
      <c r="G39" s="12"/>
      <c r="H39" s="12"/>
      <c r="I39" s="12"/>
      <c r="J39" s="29" t="s">
        <v>0</v>
      </c>
      <c r="K39" s="12"/>
      <c r="L39" s="7"/>
      <c r="M39" s="7"/>
      <c r="N39" s="7"/>
    </row>
    <row r="40" spans="1:14">
      <c r="A40" s="7"/>
      <c r="B40" s="7"/>
      <c r="C40" s="12"/>
      <c r="D40" s="12"/>
      <c r="E40" s="12"/>
      <c r="F40" s="12"/>
      <c r="G40" s="12"/>
      <c r="H40" s="12"/>
      <c r="I40" s="12"/>
      <c r="J40" s="12"/>
      <c r="K40" s="12"/>
      <c r="L40" s="7"/>
      <c r="M40" s="7"/>
      <c r="N40" s="7"/>
    </row>
    <row r="41" spans="1:14">
      <c r="A41" s="7"/>
      <c r="B41" s="7"/>
      <c r="C41" s="12"/>
      <c r="D41" s="12"/>
      <c r="E41" s="12"/>
      <c r="F41" s="12"/>
      <c r="G41" s="12"/>
      <c r="H41" s="12"/>
      <c r="I41" s="12"/>
      <c r="J41" s="12"/>
      <c r="K41" s="12"/>
      <c r="L41" s="7"/>
      <c r="M41" s="7"/>
      <c r="N41" s="7"/>
    </row>
    <row r="42" spans="1:14">
      <c r="A42" s="7"/>
      <c r="B42" s="7"/>
      <c r="C42" s="12"/>
      <c r="D42" s="12"/>
      <c r="E42" s="12"/>
      <c r="F42" s="12"/>
      <c r="G42" s="12"/>
      <c r="H42" s="12"/>
      <c r="I42" s="12"/>
      <c r="J42" s="12"/>
      <c r="K42" s="12"/>
      <c r="L42" s="7"/>
      <c r="M42" s="7"/>
      <c r="N42" s="7"/>
    </row>
    <row r="43" spans="1:14">
      <c r="A43" s="7"/>
      <c r="B43" s="7"/>
      <c r="C43" s="12"/>
      <c r="D43" s="12"/>
      <c r="E43" s="12"/>
      <c r="F43" s="12"/>
      <c r="G43" s="12"/>
      <c r="H43" s="12"/>
      <c r="I43" s="12"/>
      <c r="J43" s="12"/>
      <c r="K43" s="12"/>
      <c r="L43" s="7"/>
      <c r="M43" s="7"/>
      <c r="N43" s="7"/>
    </row>
    <row r="44" spans="1:14">
      <c r="A44" s="7"/>
      <c r="B44" s="7"/>
      <c r="C44" s="12"/>
      <c r="D44" s="12"/>
      <c r="E44" s="12"/>
      <c r="F44" s="12"/>
      <c r="G44" s="12"/>
      <c r="H44" s="12"/>
      <c r="I44" s="12"/>
      <c r="J44" s="12"/>
      <c r="K44" s="12"/>
      <c r="L44" s="7"/>
      <c r="M44" s="7"/>
      <c r="N44" s="7"/>
    </row>
    <row r="45" spans="1:14">
      <c r="A45" s="7"/>
      <c r="B45" s="7"/>
      <c r="C45" s="12"/>
      <c r="D45" s="12"/>
      <c r="E45" s="12"/>
      <c r="F45" s="12"/>
      <c r="G45" s="12"/>
      <c r="H45" s="12"/>
      <c r="I45" s="12"/>
      <c r="J45" s="12"/>
      <c r="K45" s="12"/>
      <c r="L45" s="7"/>
      <c r="M45" s="7"/>
      <c r="N45" s="7"/>
    </row>
    <row r="46" spans="1:14">
      <c r="A46" s="7"/>
      <c r="B46" s="7"/>
      <c r="C46" s="12"/>
      <c r="D46" s="12"/>
      <c r="E46" s="12"/>
      <c r="F46" s="12"/>
      <c r="G46" s="12"/>
      <c r="H46" s="12"/>
      <c r="I46" s="12"/>
      <c r="J46" s="12"/>
      <c r="K46" s="12"/>
      <c r="L46" s="7"/>
      <c r="M46" s="7"/>
      <c r="N46" s="7"/>
    </row>
    <row r="47" spans="1:14">
      <c r="A47" s="7"/>
      <c r="B47" s="7"/>
      <c r="C47" s="12"/>
      <c r="D47" s="12"/>
      <c r="E47" s="12"/>
      <c r="F47" s="12"/>
      <c r="G47" s="12"/>
      <c r="H47" s="12"/>
      <c r="I47" s="12"/>
      <c r="J47" s="12"/>
      <c r="K47" s="12"/>
      <c r="L47" s="7"/>
      <c r="M47" s="7"/>
      <c r="N47" s="7"/>
    </row>
    <row r="48" spans="1:14">
      <c r="A48" s="7"/>
      <c r="B48" s="7"/>
      <c r="C48" s="12"/>
      <c r="D48" s="12"/>
      <c r="E48" s="12"/>
      <c r="F48" s="12"/>
      <c r="G48" s="12"/>
      <c r="H48" s="12"/>
      <c r="I48" s="12"/>
      <c r="J48" s="12"/>
      <c r="K48" s="12"/>
      <c r="L48" s="7"/>
      <c r="M48" s="7"/>
      <c r="N48" s="7"/>
    </row>
    <row r="49" spans="1:14">
      <c r="A49" s="7"/>
      <c r="B49" s="7"/>
      <c r="C49" s="12"/>
      <c r="D49" s="12"/>
      <c r="E49" s="12"/>
      <c r="F49" s="12"/>
      <c r="G49" s="12"/>
      <c r="H49" s="12"/>
      <c r="I49" s="12"/>
      <c r="J49" s="12"/>
      <c r="K49" s="12"/>
      <c r="L49" s="7"/>
      <c r="M49" s="7"/>
      <c r="N49" s="7"/>
    </row>
    <row r="50" spans="1:14">
      <c r="A50" s="7"/>
      <c r="B50" s="7"/>
      <c r="C50" s="12"/>
      <c r="D50" s="12"/>
      <c r="E50" s="12"/>
      <c r="F50" s="12"/>
      <c r="G50" s="12"/>
      <c r="H50" s="12"/>
      <c r="I50" s="12"/>
      <c r="J50" s="12"/>
      <c r="K50" s="12"/>
      <c r="L50" s="7"/>
      <c r="M50" s="7"/>
      <c r="N50" s="7"/>
    </row>
    <row r="51" spans="1:14">
      <c r="A51" s="7"/>
      <c r="B51" s="7"/>
      <c r="C51" s="12"/>
      <c r="D51" s="12"/>
      <c r="E51" s="12"/>
      <c r="F51" s="12"/>
      <c r="G51" s="12"/>
      <c r="H51" s="12"/>
      <c r="I51" s="12"/>
      <c r="J51" s="12"/>
      <c r="K51" s="12"/>
      <c r="L51" s="7"/>
      <c r="M51" s="7"/>
      <c r="N51" s="7"/>
    </row>
    <row r="52" spans="1:14" ht="15.6">
      <c r="A52" s="7"/>
      <c r="B52" s="7"/>
      <c r="C52" s="12"/>
      <c r="D52" s="12"/>
      <c r="E52" s="12"/>
      <c r="F52" s="12"/>
      <c r="G52" s="39" t="s">
        <v>1</v>
      </c>
      <c r="H52" s="12"/>
      <c r="I52" s="12"/>
      <c r="J52" s="12"/>
      <c r="K52" s="12"/>
      <c r="L52" s="7"/>
      <c r="M52" s="7"/>
      <c r="N52" s="7"/>
    </row>
    <row r="53" spans="1:14">
      <c r="A53" s="7"/>
      <c r="B53" s="7"/>
      <c r="C53" s="12"/>
      <c r="D53" s="12"/>
      <c r="E53" s="12"/>
      <c r="F53" s="12"/>
      <c r="G53" s="12"/>
      <c r="H53" s="12"/>
      <c r="I53" s="12"/>
      <c r="J53" s="12"/>
      <c r="K53" s="12"/>
      <c r="L53" s="7"/>
      <c r="M53" s="7"/>
      <c r="N53" s="7"/>
    </row>
    <row r="54" spans="1:14">
      <c r="A54" s="7"/>
      <c r="B54" s="7"/>
      <c r="C54" s="12"/>
      <c r="D54" s="12"/>
      <c r="E54" s="12"/>
      <c r="F54" s="12"/>
      <c r="G54" s="12"/>
      <c r="H54" s="12"/>
      <c r="I54" s="12"/>
      <c r="J54" s="12"/>
      <c r="K54" s="12"/>
      <c r="L54" s="7"/>
      <c r="M54" s="7"/>
      <c r="N54" s="7"/>
    </row>
    <row r="55" spans="1:14">
      <c r="A55" s="7"/>
      <c r="B55" s="7"/>
      <c r="C55" s="12"/>
      <c r="D55" s="12"/>
      <c r="E55" s="12"/>
      <c r="F55" s="12"/>
      <c r="G55" s="12"/>
      <c r="H55" s="12"/>
      <c r="I55" s="12"/>
      <c r="J55" s="12"/>
      <c r="K55" s="12"/>
      <c r="L55" s="7"/>
      <c r="M55" s="7"/>
      <c r="N55" s="7"/>
    </row>
    <row r="56" spans="1:14">
      <c r="A56" s="7"/>
      <c r="B56" s="7"/>
      <c r="C56" s="12"/>
      <c r="D56" s="12"/>
      <c r="E56" s="12"/>
      <c r="F56" s="12"/>
      <c r="G56" s="12"/>
      <c r="H56" s="12"/>
      <c r="I56" s="12"/>
      <c r="J56" s="12"/>
      <c r="K56" s="12"/>
      <c r="L56" s="7"/>
      <c r="M56" s="7"/>
      <c r="N56" s="7"/>
    </row>
    <row r="57" spans="1:14">
      <c r="A57" s="7"/>
      <c r="B57" s="7"/>
      <c r="C57" s="12"/>
      <c r="D57" s="12"/>
      <c r="E57" s="12"/>
      <c r="F57" s="12"/>
      <c r="G57" s="12"/>
      <c r="H57" s="12"/>
      <c r="I57" s="12"/>
      <c r="J57" s="12"/>
      <c r="K57" s="12"/>
      <c r="L57" s="7"/>
      <c r="M57" s="7"/>
      <c r="N57" s="7"/>
    </row>
    <row r="58" spans="1:14">
      <c r="A58" s="7"/>
      <c r="B58" s="7"/>
      <c r="C58" s="12"/>
      <c r="D58" s="12"/>
      <c r="E58" s="12"/>
      <c r="F58" s="12"/>
      <c r="G58" s="12"/>
      <c r="H58" s="12"/>
      <c r="I58" s="12"/>
      <c r="J58" s="12"/>
      <c r="K58" s="12"/>
      <c r="L58" s="7"/>
      <c r="M58" s="7"/>
      <c r="N58" s="7"/>
    </row>
    <row r="59" spans="1:14">
      <c r="A59" s="7"/>
      <c r="B59" s="7"/>
      <c r="C59" s="12"/>
      <c r="D59" s="12"/>
      <c r="E59" s="12"/>
      <c r="F59" s="12"/>
      <c r="G59" s="12"/>
      <c r="H59" s="12"/>
      <c r="I59" s="12"/>
      <c r="J59" s="12"/>
      <c r="K59" s="12"/>
      <c r="L59" s="7"/>
      <c r="M59" s="7"/>
      <c r="N59" s="7"/>
    </row>
    <row r="60" spans="1:14">
      <c r="A60" s="7"/>
      <c r="B60" s="7"/>
      <c r="C60" s="12"/>
      <c r="D60" s="12"/>
      <c r="E60" s="12"/>
      <c r="F60" s="12"/>
      <c r="G60" s="12"/>
      <c r="H60" s="12"/>
      <c r="I60" s="12"/>
      <c r="J60" s="12"/>
      <c r="K60" s="12"/>
      <c r="L60" s="7"/>
      <c r="M60" s="7"/>
      <c r="N60" s="7"/>
    </row>
    <row r="61" spans="1:14">
      <c r="A61" s="7"/>
      <c r="B61" s="7"/>
      <c r="C61" s="12"/>
      <c r="D61" s="12"/>
      <c r="E61" s="12"/>
      <c r="F61" s="12"/>
      <c r="G61" s="12"/>
      <c r="H61" s="12"/>
      <c r="I61" s="12"/>
      <c r="J61" s="12"/>
      <c r="K61" s="12"/>
      <c r="L61" s="7"/>
      <c r="M61" s="7"/>
      <c r="N61" s="7"/>
    </row>
    <row r="62" spans="1:14">
      <c r="A62" s="7"/>
      <c r="B62" s="7"/>
      <c r="C62" s="12"/>
      <c r="D62" s="12"/>
      <c r="E62" s="12"/>
      <c r="F62" s="12"/>
      <c r="G62" s="12"/>
      <c r="H62" s="12"/>
      <c r="I62" s="12"/>
      <c r="J62" s="12"/>
      <c r="K62" s="12"/>
      <c r="L62" s="7"/>
      <c r="M62" s="7"/>
      <c r="N62" s="7"/>
    </row>
    <row r="63" spans="1:1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1:14">
      <c r="A64" s="7"/>
      <c r="B64" s="7"/>
      <c r="C64" s="7"/>
      <c r="D64" s="7"/>
      <c r="E64" s="7"/>
      <c r="F64" s="44" t="s">
        <v>270</v>
      </c>
      <c r="G64" s="44"/>
      <c r="H64" s="44"/>
      <c r="I64" s="7"/>
      <c r="J64" s="7"/>
      <c r="K64" s="7"/>
      <c r="L64" s="7"/>
      <c r="M64" s="7"/>
      <c r="N64" s="7"/>
    </row>
    <row r="65" spans="1:14" ht="15.6">
      <c r="A65" s="7"/>
      <c r="B65" s="7"/>
      <c r="C65" s="7"/>
      <c r="D65" s="7"/>
      <c r="E65" s="55" t="s">
        <v>260</v>
      </c>
      <c r="F65" s="55"/>
      <c r="G65" s="55"/>
      <c r="H65" s="55"/>
      <c r="I65" s="55"/>
      <c r="J65" s="7"/>
      <c r="K65" s="7"/>
      <c r="L65" s="7"/>
      <c r="M65" s="7"/>
      <c r="N65" s="7"/>
    </row>
    <row r="66" spans="1:1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1:14">
      <c r="A67" s="4" t="s">
        <v>3</v>
      </c>
      <c r="B67" s="4" t="s">
        <v>4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>
      <c r="A69" s="5" t="s">
        <v>5</v>
      </c>
      <c r="B69" s="5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>
      <c r="A70" s="4" t="s">
        <v>6</v>
      </c>
      <c r="B70" s="4"/>
      <c r="C70" s="4"/>
      <c r="D70" s="4"/>
      <c r="E70" s="4"/>
      <c r="F70" s="6" t="s">
        <v>98</v>
      </c>
      <c r="G70" s="7"/>
      <c r="H70" s="4"/>
      <c r="I70" s="4"/>
      <c r="J70" s="28" t="str">
        <f>CONCATENATE("=")</f>
        <v>=</v>
      </c>
      <c r="K70" s="6">
        <v>5.5E-2</v>
      </c>
      <c r="L70" s="6" t="s">
        <v>124</v>
      </c>
      <c r="M70" s="6"/>
      <c r="N70" s="6"/>
    </row>
    <row r="71" spans="1:14" ht="18.600000000000001">
      <c r="A71" s="4" t="s">
        <v>7</v>
      </c>
      <c r="B71" s="4"/>
      <c r="C71" s="4"/>
      <c r="D71" s="4"/>
      <c r="E71" s="4"/>
      <c r="F71" s="6" t="s">
        <v>249</v>
      </c>
      <c r="G71" s="7"/>
      <c r="H71" s="4"/>
      <c r="I71" s="4"/>
      <c r="J71" s="28" t="str">
        <f t="shared" ref="G71:J108" si="0">CONCATENATE("=")</f>
        <v>=</v>
      </c>
      <c r="K71" s="19">
        <v>6</v>
      </c>
      <c r="L71" s="6"/>
      <c r="M71" s="6"/>
      <c r="N71" s="6"/>
    </row>
    <row r="72" spans="1:14">
      <c r="A72" s="5" t="s">
        <v>8</v>
      </c>
      <c r="B72" s="5"/>
      <c r="C72" s="4"/>
      <c r="D72" s="4"/>
      <c r="E72" s="4"/>
      <c r="F72" s="6"/>
      <c r="G72" s="7"/>
      <c r="H72" s="4"/>
      <c r="I72" s="4"/>
      <c r="J72" s="28"/>
      <c r="K72" s="6"/>
      <c r="L72" s="6"/>
      <c r="M72" s="6"/>
      <c r="N72" s="6"/>
    </row>
    <row r="73" spans="1:14">
      <c r="A73" s="4" t="s">
        <v>9</v>
      </c>
      <c r="B73" s="4"/>
      <c r="C73" s="4"/>
      <c r="D73" s="4"/>
      <c r="E73" s="10"/>
      <c r="F73" s="10" t="s">
        <v>99</v>
      </c>
      <c r="G73" s="7"/>
      <c r="H73" s="4"/>
      <c r="I73" s="4"/>
      <c r="J73" s="28" t="str">
        <f t="shared" si="0"/>
        <v>=</v>
      </c>
      <c r="K73" s="6">
        <v>27.5</v>
      </c>
      <c r="L73" s="6" t="s">
        <v>125</v>
      </c>
      <c r="M73" s="6">
        <v>749.3</v>
      </c>
      <c r="N73" s="6" t="s">
        <v>126</v>
      </c>
    </row>
    <row r="74" spans="1:14">
      <c r="A74" s="4" t="s">
        <v>10</v>
      </c>
      <c r="B74" s="4"/>
      <c r="C74" s="4"/>
      <c r="D74" s="4"/>
      <c r="E74" s="10"/>
      <c r="F74" s="10" t="s">
        <v>123</v>
      </c>
      <c r="G74" s="7"/>
      <c r="H74" s="4"/>
      <c r="I74" s="4"/>
      <c r="J74" s="28" t="str">
        <f t="shared" si="0"/>
        <v>=</v>
      </c>
      <c r="K74" s="6">
        <v>24</v>
      </c>
      <c r="L74" s="6"/>
      <c r="M74" s="6"/>
      <c r="N74" s="6"/>
    </row>
    <row r="75" spans="1:14">
      <c r="A75" s="4" t="s">
        <v>11</v>
      </c>
      <c r="B75" s="4"/>
      <c r="C75" s="4"/>
      <c r="D75" s="4"/>
      <c r="E75" s="10"/>
      <c r="F75" s="10" t="s">
        <v>100</v>
      </c>
      <c r="G75" s="7"/>
      <c r="H75" s="4"/>
      <c r="I75" s="4"/>
      <c r="J75" s="28" t="str">
        <f t="shared" si="0"/>
        <v>=</v>
      </c>
      <c r="K75" s="6">
        <v>4.75</v>
      </c>
      <c r="L75" s="6" t="s">
        <v>125</v>
      </c>
      <c r="M75" s="6"/>
      <c r="N75" s="6"/>
    </row>
    <row r="76" spans="1:14">
      <c r="A76" s="4" t="s">
        <v>12</v>
      </c>
      <c r="B76" s="4"/>
      <c r="C76" s="4"/>
      <c r="D76" s="4"/>
      <c r="E76" s="10"/>
      <c r="F76" s="10" t="s">
        <v>102</v>
      </c>
      <c r="G76" s="7"/>
      <c r="H76" s="4"/>
      <c r="I76" s="4"/>
      <c r="J76" s="28" t="str">
        <f t="shared" si="0"/>
        <v>=</v>
      </c>
      <c r="K76" s="6">
        <v>0.1196</v>
      </c>
      <c r="L76" s="6"/>
      <c r="M76" s="6"/>
      <c r="N76" s="6"/>
    </row>
    <row r="77" spans="1:14" ht="16.2">
      <c r="A77" s="4" t="s">
        <v>101</v>
      </c>
      <c r="B77" s="4"/>
      <c r="C77" s="4"/>
      <c r="D77" s="4"/>
      <c r="E77" s="10"/>
      <c r="F77" s="10" t="s">
        <v>163</v>
      </c>
      <c r="G77" s="7"/>
      <c r="H77" s="4"/>
      <c r="I77" s="4"/>
      <c r="J77" s="28" t="str">
        <f t="shared" si="0"/>
        <v>=</v>
      </c>
      <c r="K77" s="6">
        <v>0.23599999999999999</v>
      </c>
      <c r="L77" s="6"/>
      <c r="M77" s="6"/>
      <c r="N77" s="6"/>
    </row>
    <row r="78" spans="1:14">
      <c r="A78" s="4" t="s">
        <v>13</v>
      </c>
      <c r="B78" s="4"/>
      <c r="C78" s="4"/>
      <c r="D78" s="4"/>
      <c r="E78" s="10"/>
      <c r="F78" s="10" t="s">
        <v>103</v>
      </c>
      <c r="G78" s="7"/>
      <c r="H78" s="4"/>
      <c r="I78" s="4"/>
      <c r="J78" s="28" t="str">
        <f t="shared" si="0"/>
        <v>=</v>
      </c>
      <c r="K78" s="6">
        <v>19.05</v>
      </c>
      <c r="L78" s="6"/>
      <c r="M78" s="6"/>
      <c r="N78" s="6"/>
    </row>
    <row r="79" spans="1:14" ht="16.2">
      <c r="A79" s="4" t="s">
        <v>14</v>
      </c>
      <c r="B79" s="4"/>
      <c r="C79" s="4"/>
      <c r="D79" s="4"/>
      <c r="E79" s="10"/>
      <c r="F79" s="10" t="s">
        <v>164</v>
      </c>
      <c r="G79" s="7"/>
      <c r="H79" s="4"/>
      <c r="I79" s="4"/>
      <c r="J79" s="28" t="str">
        <f t="shared" si="0"/>
        <v>=</v>
      </c>
      <c r="K79" s="6">
        <v>1</v>
      </c>
      <c r="L79" s="6"/>
      <c r="M79" s="6"/>
      <c r="N79" s="6"/>
    </row>
    <row r="80" spans="1:14" ht="16.2">
      <c r="A80" s="4" t="s">
        <v>15</v>
      </c>
      <c r="B80" s="4"/>
      <c r="C80" s="4"/>
      <c r="D80" s="4"/>
      <c r="E80" s="10"/>
      <c r="F80" s="10" t="s">
        <v>165</v>
      </c>
      <c r="G80" s="7"/>
      <c r="H80" s="4"/>
      <c r="I80" s="4"/>
      <c r="J80" s="28" t="str">
        <f t="shared" si="0"/>
        <v>=</v>
      </c>
      <c r="K80" s="6">
        <v>1</v>
      </c>
      <c r="L80" s="6"/>
      <c r="M80" s="6"/>
      <c r="N80" s="6"/>
    </row>
    <row r="81" spans="1:15" ht="16.2">
      <c r="A81" s="4" t="s">
        <v>16</v>
      </c>
      <c r="B81" s="4"/>
      <c r="C81" s="4"/>
      <c r="D81" s="4"/>
      <c r="E81" s="10"/>
      <c r="F81" s="10" t="s">
        <v>166</v>
      </c>
      <c r="G81" s="7"/>
      <c r="H81" s="4"/>
      <c r="I81" s="4"/>
      <c r="J81" s="28" t="str">
        <f t="shared" si="0"/>
        <v>=</v>
      </c>
      <c r="K81" s="6">
        <v>1</v>
      </c>
      <c r="L81" s="6"/>
      <c r="M81" s="6"/>
      <c r="N81" s="6"/>
    </row>
    <row r="82" spans="1:15" ht="16.2">
      <c r="A82" s="4" t="s">
        <v>17</v>
      </c>
      <c r="B82" s="4"/>
      <c r="C82" s="10" t="s">
        <v>167</v>
      </c>
      <c r="D82" s="49" t="str">
        <f>CONCATENATE("=","N","*","ti","+","(N-1)","*","ts","+","tbp","+","ttp","+",2,"*","tip")</f>
        <v>=N*ti+(N-1)*ts+tbp+ttp+2*tip</v>
      </c>
      <c r="E82" s="49"/>
      <c r="F82" s="49"/>
      <c r="G82" s="49"/>
      <c r="H82" s="49"/>
      <c r="I82" s="49"/>
      <c r="J82" s="28" t="str">
        <f t="shared" si="0"/>
        <v>=</v>
      </c>
      <c r="K82" s="20">
        <f>(K74*K77+(K74-1)*K76+K80+K79+2*K81)*25.4</f>
        <v>315.33591999999999</v>
      </c>
      <c r="L82" s="6" t="s">
        <v>126</v>
      </c>
      <c r="M82" s="6"/>
      <c r="N82" s="6"/>
    </row>
    <row r="83" spans="1:15">
      <c r="A83" s="5" t="s">
        <v>18</v>
      </c>
      <c r="B83" s="5"/>
      <c r="C83" s="4"/>
      <c r="D83" s="4"/>
      <c r="E83" s="10"/>
      <c r="F83" s="10"/>
      <c r="G83" s="7"/>
      <c r="H83" s="4"/>
      <c r="I83" s="4"/>
      <c r="J83" s="28"/>
      <c r="K83" s="4"/>
      <c r="L83" s="4"/>
      <c r="M83" s="4"/>
      <c r="N83" s="4"/>
    </row>
    <row r="84" spans="1:15" ht="16.2">
      <c r="A84" s="4" t="s">
        <v>18</v>
      </c>
      <c r="B84" s="4"/>
      <c r="C84" s="4"/>
      <c r="D84" s="10" t="s">
        <v>168</v>
      </c>
      <c r="E84" s="54" t="s">
        <v>127</v>
      </c>
      <c r="F84" s="54"/>
      <c r="G84" s="54"/>
      <c r="H84" s="54"/>
      <c r="I84" s="54"/>
      <c r="J84" s="28" t="str">
        <f t="shared" si="0"/>
        <v>=</v>
      </c>
      <c r="K84" s="19">
        <v>6</v>
      </c>
      <c r="L84" s="6" t="s">
        <v>129</v>
      </c>
      <c r="M84" s="4"/>
      <c r="N84" s="4"/>
    </row>
    <row r="85" spans="1:15" ht="16.2">
      <c r="A85" s="4" t="s">
        <v>19</v>
      </c>
      <c r="B85" s="4"/>
      <c r="C85" s="4"/>
      <c r="D85" s="10" t="s">
        <v>169</v>
      </c>
      <c r="E85" s="52" t="s">
        <v>128</v>
      </c>
      <c r="F85" s="52"/>
      <c r="G85" s="52"/>
      <c r="H85" s="52"/>
      <c r="I85" s="52"/>
      <c r="J85" s="28" t="str">
        <f t="shared" si="0"/>
        <v>=</v>
      </c>
      <c r="K85" s="19">
        <v>12</v>
      </c>
      <c r="L85" s="6" t="s">
        <v>129</v>
      </c>
      <c r="M85" s="4"/>
      <c r="N85" s="4"/>
    </row>
    <row r="86" spans="1:15">
      <c r="A86" s="5" t="s">
        <v>20</v>
      </c>
      <c r="B86" s="5"/>
      <c r="C86" s="4"/>
      <c r="D86" s="4"/>
      <c r="E86" s="10"/>
      <c r="F86" s="10"/>
      <c r="G86" s="7"/>
      <c r="H86" s="4"/>
      <c r="I86" s="4"/>
      <c r="J86" s="28"/>
      <c r="K86" s="19"/>
      <c r="L86" s="6"/>
      <c r="M86" s="4"/>
      <c r="N86" s="4"/>
    </row>
    <row r="87" spans="1:15">
      <c r="A87" s="4" t="s">
        <v>21</v>
      </c>
      <c r="B87" s="4"/>
      <c r="C87" s="4"/>
      <c r="D87" s="4" t="s">
        <v>250</v>
      </c>
      <c r="E87" s="10"/>
      <c r="F87" s="10" t="s">
        <v>104</v>
      </c>
      <c r="G87" s="7"/>
      <c r="H87" s="4"/>
      <c r="I87" s="4"/>
      <c r="J87" s="28" t="str">
        <f t="shared" si="0"/>
        <v>=</v>
      </c>
      <c r="K87" s="17">
        <v>3</v>
      </c>
      <c r="L87" s="6"/>
      <c r="M87" s="4"/>
      <c r="N87" s="4"/>
    </row>
    <row r="88" spans="1:15" ht="16.2">
      <c r="A88" s="4" t="s">
        <v>22</v>
      </c>
      <c r="B88" s="4"/>
      <c r="C88" s="4"/>
      <c r="D88" s="4" t="s">
        <v>250</v>
      </c>
      <c r="E88" s="10"/>
      <c r="F88" s="10" t="s">
        <v>170</v>
      </c>
      <c r="G88" s="7"/>
      <c r="H88" s="4"/>
      <c r="I88" s="4"/>
      <c r="J88" s="28" t="str">
        <f t="shared" si="0"/>
        <v>=</v>
      </c>
      <c r="K88" s="17">
        <v>1</v>
      </c>
      <c r="L88" s="6"/>
      <c r="M88" s="4"/>
      <c r="N88" s="4"/>
    </row>
    <row r="89" spans="1:15" ht="16.2">
      <c r="A89" s="4" t="s">
        <v>23</v>
      </c>
      <c r="B89" s="4"/>
      <c r="C89" s="4"/>
      <c r="D89" s="10" t="s">
        <v>251</v>
      </c>
      <c r="E89" s="11" t="s">
        <v>130</v>
      </c>
      <c r="F89" s="11"/>
      <c r="G89" s="11"/>
      <c r="H89" s="11"/>
      <c r="I89" s="4"/>
      <c r="J89" s="28" t="str">
        <f t="shared" si="0"/>
        <v>=</v>
      </c>
      <c r="K89" s="19">
        <v>0</v>
      </c>
      <c r="L89" s="6"/>
      <c r="M89" s="4" t="s">
        <v>233</v>
      </c>
      <c r="N89" s="9">
        <v>0</v>
      </c>
      <c r="O89" s="1"/>
    </row>
    <row r="90" spans="1:15">
      <c r="A90" s="4" t="s">
        <v>24</v>
      </c>
      <c r="B90" s="4"/>
      <c r="C90" s="4"/>
      <c r="D90" s="10" t="s">
        <v>105</v>
      </c>
      <c r="E90" s="11" t="s">
        <v>131</v>
      </c>
      <c r="F90" s="12"/>
      <c r="G90" s="12"/>
      <c r="H90" s="12"/>
      <c r="I90" s="12"/>
      <c r="J90" s="28" t="str">
        <f t="shared" si="0"/>
        <v>=</v>
      </c>
      <c r="K90" s="6">
        <v>800</v>
      </c>
      <c r="L90" s="6" t="s">
        <v>133</v>
      </c>
      <c r="M90" s="4"/>
      <c r="N90" s="4"/>
    </row>
    <row r="91" spans="1:15" ht="16.2">
      <c r="A91" s="4" t="s">
        <v>25</v>
      </c>
      <c r="B91" s="4"/>
      <c r="C91" s="4"/>
      <c r="D91" s="10" t="s">
        <v>171</v>
      </c>
      <c r="E91" s="11" t="s">
        <v>132</v>
      </c>
      <c r="F91" s="12"/>
      <c r="G91" s="12"/>
      <c r="H91" s="12"/>
      <c r="I91" s="12"/>
      <c r="J91" s="28" t="str">
        <f t="shared" si="0"/>
        <v>=</v>
      </c>
      <c r="K91" s="6">
        <v>1400</v>
      </c>
      <c r="L91" s="6" t="s">
        <v>133</v>
      </c>
      <c r="M91" s="4"/>
      <c r="N91" s="4"/>
    </row>
    <row r="92" spans="1:15">
      <c r="A92" s="5" t="s">
        <v>26</v>
      </c>
      <c r="B92" s="5"/>
      <c r="C92" s="4"/>
      <c r="D92" s="4"/>
      <c r="E92" s="10"/>
      <c r="F92" s="10"/>
      <c r="G92" s="7"/>
      <c r="H92" s="4"/>
      <c r="I92" s="4"/>
      <c r="J92" s="28"/>
      <c r="K92" s="6"/>
      <c r="L92" s="6"/>
      <c r="M92" s="4"/>
      <c r="N92" s="4"/>
    </row>
    <row r="93" spans="1:15">
      <c r="A93" s="4" t="s">
        <v>27</v>
      </c>
      <c r="B93" s="4"/>
      <c r="C93" s="4"/>
      <c r="D93" s="4"/>
      <c r="E93" s="10"/>
      <c r="F93" s="10" t="s">
        <v>107</v>
      </c>
      <c r="G93" s="7"/>
      <c r="H93" s="4"/>
      <c r="I93" s="4"/>
      <c r="J93" s="28" t="str">
        <f t="shared" si="0"/>
        <v>=</v>
      </c>
      <c r="K93" s="6">
        <v>300</v>
      </c>
      <c r="L93" s="6" t="s">
        <v>134</v>
      </c>
      <c r="M93" s="4"/>
      <c r="N93" s="4"/>
    </row>
    <row r="94" spans="1:15" ht="16.2">
      <c r="A94" s="4" t="s">
        <v>28</v>
      </c>
      <c r="B94" s="4"/>
      <c r="C94" s="4"/>
      <c r="D94" s="4"/>
      <c r="E94" s="10"/>
      <c r="F94" s="10" t="s">
        <v>172</v>
      </c>
      <c r="G94" s="7" t="s">
        <v>135</v>
      </c>
      <c r="H94" s="4"/>
      <c r="I94" s="4"/>
      <c r="J94" s="28" t="str">
        <f t="shared" si="0"/>
        <v>=</v>
      </c>
      <c r="K94" s="6">
        <f>4*K70</f>
        <v>0.22</v>
      </c>
      <c r="L94" s="6" t="s">
        <v>134</v>
      </c>
      <c r="M94" s="4"/>
      <c r="N94" s="4"/>
    </row>
    <row r="95" spans="1:15">
      <c r="A95" s="4" t="s">
        <v>29</v>
      </c>
      <c r="B95" s="4"/>
      <c r="C95" s="10" t="s">
        <v>108</v>
      </c>
      <c r="D95" s="51" t="s">
        <v>136</v>
      </c>
      <c r="E95" s="51"/>
      <c r="F95" s="51"/>
      <c r="G95" s="51"/>
      <c r="H95" s="51"/>
      <c r="I95" s="51"/>
      <c r="J95" s="28" t="str">
        <f t="shared" si="0"/>
        <v>=</v>
      </c>
      <c r="K95" s="6"/>
      <c r="L95" s="6"/>
      <c r="M95" s="4"/>
      <c r="N95" s="4"/>
    </row>
    <row r="96" spans="1:15">
      <c r="A96" s="6" t="s">
        <v>30</v>
      </c>
      <c r="B96" s="6"/>
      <c r="C96" s="6" t="s">
        <v>137</v>
      </c>
      <c r="D96" s="4" t="s">
        <v>138</v>
      </c>
      <c r="E96" s="10"/>
      <c r="F96" s="10"/>
      <c r="G96" s="7"/>
      <c r="H96" s="4"/>
      <c r="I96" s="4"/>
      <c r="J96" s="28" t="str">
        <f t="shared" si="0"/>
        <v>=</v>
      </c>
      <c r="K96" s="6">
        <v>0.85</v>
      </c>
      <c r="L96" s="6"/>
      <c r="M96" s="4"/>
      <c r="N96" s="4"/>
    </row>
    <row r="97" spans="1:16">
      <c r="A97" s="4" t="s">
        <v>31</v>
      </c>
      <c r="B97" s="4"/>
      <c r="C97" s="4"/>
      <c r="D97" s="4"/>
      <c r="E97" s="10"/>
      <c r="F97" s="10" t="s">
        <v>109</v>
      </c>
      <c r="G97" s="7" t="s">
        <v>139</v>
      </c>
      <c r="H97" s="4"/>
      <c r="I97" s="4"/>
      <c r="J97" s="28" t="str">
        <f t="shared" si="0"/>
        <v>=</v>
      </c>
      <c r="K97" s="6">
        <f>K77*K74</f>
        <v>5.6639999999999997</v>
      </c>
      <c r="L97" s="6" t="s">
        <v>129</v>
      </c>
      <c r="M97" s="4"/>
      <c r="N97" s="4"/>
    </row>
    <row r="98" spans="1:16">
      <c r="A98" s="4" t="s">
        <v>32</v>
      </c>
      <c r="B98" s="4"/>
      <c r="C98" s="4"/>
      <c r="D98" s="4"/>
      <c r="E98" s="14" t="s">
        <v>140</v>
      </c>
      <c r="F98" s="14"/>
      <c r="G98" s="14"/>
      <c r="H98" s="4"/>
      <c r="I98" s="4"/>
      <c r="J98" s="28" t="str">
        <f t="shared" si="0"/>
        <v>=</v>
      </c>
      <c r="K98" s="17">
        <f>K73-2*(K78/25.4)</f>
        <v>26</v>
      </c>
      <c r="L98" s="6" t="s">
        <v>129</v>
      </c>
      <c r="M98" s="4"/>
      <c r="N98" s="4"/>
    </row>
    <row r="99" spans="1:16" ht="16.2">
      <c r="A99" s="4" t="s">
        <v>33</v>
      </c>
      <c r="B99" s="4"/>
      <c r="C99" s="4"/>
      <c r="D99" s="4"/>
      <c r="E99" s="49" t="s">
        <v>173</v>
      </c>
      <c r="F99" s="49"/>
      <c r="G99" s="7"/>
      <c r="H99" s="4"/>
      <c r="I99" s="4"/>
      <c r="J99" s="28" t="str">
        <f t="shared" si="0"/>
        <v>=</v>
      </c>
      <c r="K99" s="19">
        <f>PI()*K98^2/4</f>
        <v>530.92915845667505</v>
      </c>
      <c r="L99" s="6" t="s">
        <v>141</v>
      </c>
      <c r="M99" s="4"/>
      <c r="N99" s="4"/>
    </row>
    <row r="100" spans="1:16">
      <c r="A100" s="4" t="s">
        <v>110</v>
      </c>
      <c r="B100" s="4"/>
      <c r="C100" s="4"/>
      <c r="D100" s="4"/>
      <c r="E100" s="52" t="s">
        <v>174</v>
      </c>
      <c r="F100" s="52"/>
      <c r="G100" s="7"/>
      <c r="H100" s="4"/>
      <c r="I100" s="4"/>
      <c r="J100" s="28" t="str">
        <f t="shared" si="0"/>
        <v>=</v>
      </c>
      <c r="K100" s="19">
        <f>PI()*K75^2/4</f>
        <v>17.720546061654925</v>
      </c>
      <c r="L100" s="6" t="s">
        <v>141</v>
      </c>
      <c r="M100" s="4"/>
      <c r="N100" s="4"/>
    </row>
    <row r="101" spans="1:16">
      <c r="A101" s="4" t="s">
        <v>34</v>
      </c>
      <c r="B101" s="4"/>
      <c r="C101" s="4"/>
      <c r="D101" s="4"/>
      <c r="E101" s="52" t="s">
        <v>142</v>
      </c>
      <c r="F101" s="52"/>
      <c r="G101" s="7"/>
      <c r="H101" s="4"/>
      <c r="I101" s="4"/>
      <c r="J101" s="28" t="str">
        <f t="shared" si="0"/>
        <v>=</v>
      </c>
      <c r="K101" s="19">
        <f>K99-K100</f>
        <v>513.20861239502017</v>
      </c>
      <c r="L101" s="6" t="s">
        <v>141</v>
      </c>
      <c r="M101" s="4"/>
      <c r="N101" s="4"/>
    </row>
    <row r="102" spans="1:16">
      <c r="A102" s="4" t="s">
        <v>35</v>
      </c>
      <c r="B102" s="4"/>
      <c r="C102" s="4"/>
      <c r="D102" s="4"/>
      <c r="E102" s="52" t="s">
        <v>175</v>
      </c>
      <c r="F102" s="52"/>
      <c r="G102" s="7"/>
      <c r="H102" s="4"/>
      <c r="I102" s="4"/>
      <c r="J102" s="28" t="str">
        <f t="shared" si="0"/>
        <v>=</v>
      </c>
      <c r="K102" s="17">
        <f>PI()*K73^2/4-K100</f>
        <v>576.23681500766543</v>
      </c>
      <c r="L102" s="6" t="s">
        <v>141</v>
      </c>
      <c r="M102" s="4"/>
      <c r="N102" s="4"/>
    </row>
    <row r="103" spans="1:16">
      <c r="A103" s="4" t="s">
        <v>36</v>
      </c>
      <c r="B103" s="4"/>
      <c r="C103" s="4"/>
      <c r="D103" s="4"/>
      <c r="E103" s="15" t="s">
        <v>176</v>
      </c>
      <c r="F103" s="15"/>
      <c r="G103" s="7"/>
      <c r="H103" s="4"/>
      <c r="I103" s="4" t="s">
        <v>143</v>
      </c>
      <c r="J103" s="28" t="str">
        <f t="shared" si="0"/>
        <v>=</v>
      </c>
      <c r="K103" s="19">
        <f>0.25*PI()*(K98^2-K75^2)/(PI()*K98*K77)</f>
        <v>26.623105443285521</v>
      </c>
      <c r="L103" s="6"/>
      <c r="M103" s="4"/>
      <c r="N103" s="4"/>
    </row>
    <row r="104" spans="1:16">
      <c r="A104" s="6" t="s">
        <v>37</v>
      </c>
      <c r="B104" s="6"/>
      <c r="C104" s="6"/>
      <c r="D104" s="4"/>
      <c r="E104" s="51"/>
      <c r="F104" s="51"/>
      <c r="G104" s="7"/>
      <c r="H104" s="4"/>
      <c r="I104" s="4"/>
      <c r="J104" s="28" t="str">
        <f t="shared" si="0"/>
        <v>=</v>
      </c>
      <c r="K104" s="6"/>
      <c r="L104" s="6"/>
      <c r="M104" s="4"/>
      <c r="N104" s="4"/>
    </row>
    <row r="105" spans="1:16">
      <c r="A105" s="4" t="s">
        <v>38</v>
      </c>
      <c r="B105" s="4"/>
      <c r="C105" s="4"/>
      <c r="D105" s="4"/>
      <c r="E105" s="4"/>
      <c r="F105" s="15" t="s">
        <v>111</v>
      </c>
      <c r="G105" s="52" t="s">
        <v>144</v>
      </c>
      <c r="H105" s="52"/>
      <c r="I105" s="52"/>
      <c r="J105" s="28" t="str">
        <f t="shared" si="0"/>
        <v>=</v>
      </c>
      <c r="K105" s="34">
        <f>K94*(1+2*K96*K103^2)</f>
        <v>265.30736404816787</v>
      </c>
      <c r="L105" s="6" t="s">
        <v>134</v>
      </c>
      <c r="M105" s="4"/>
      <c r="N105" s="4"/>
      <c r="P105">
        <f>(2*K98^2*ASIN((K98^2-G113^2)^0.5/K98)-G113*(K98^2-G113^2)^0.5)/(PI()*K98^2)</f>
        <v>1</v>
      </c>
    </row>
    <row r="106" spans="1:16">
      <c r="A106" s="12" t="s">
        <v>39</v>
      </c>
      <c r="B106" s="12"/>
      <c r="C106" s="12"/>
      <c r="D106" s="12"/>
      <c r="E106" s="12"/>
      <c r="F106" s="15" t="s">
        <v>112</v>
      </c>
      <c r="G106" s="52" t="s">
        <v>145</v>
      </c>
      <c r="H106" s="52"/>
      <c r="I106" s="52"/>
      <c r="J106" s="52"/>
      <c r="K106" s="34">
        <f>1/(1/K105+1/K93)</f>
        <v>140.79457349447969</v>
      </c>
      <c r="L106" s="6" t="s">
        <v>134</v>
      </c>
      <c r="M106" s="4"/>
      <c r="N106" s="4"/>
    </row>
    <row r="107" spans="1:16">
      <c r="A107" s="5" t="s">
        <v>40</v>
      </c>
      <c r="B107" s="5"/>
      <c r="C107" s="5"/>
      <c r="D107" s="15" t="s">
        <v>113</v>
      </c>
      <c r="E107" s="52" t="s">
        <v>155</v>
      </c>
      <c r="F107" s="52"/>
      <c r="G107" s="52"/>
      <c r="H107" s="4"/>
      <c r="I107" s="4"/>
      <c r="J107" s="4"/>
      <c r="K107" s="34">
        <f>K106*K101/(K74*K77)</f>
        <v>12757.236528222213</v>
      </c>
      <c r="L107" s="6" t="s">
        <v>146</v>
      </c>
      <c r="M107" s="4"/>
      <c r="N107" s="4"/>
    </row>
    <row r="108" spans="1:16">
      <c r="A108" s="4" t="s">
        <v>41</v>
      </c>
      <c r="B108" s="5"/>
      <c r="C108" s="5"/>
      <c r="D108" s="4"/>
      <c r="E108" s="4"/>
      <c r="F108" s="4"/>
      <c r="G108" s="28" t="str">
        <f t="shared" si="0"/>
        <v>=</v>
      </c>
      <c r="H108" s="4"/>
      <c r="I108" s="4"/>
      <c r="J108" s="4"/>
      <c r="K108" s="6"/>
      <c r="L108" s="6"/>
      <c r="M108" s="4"/>
      <c r="N108" s="4"/>
    </row>
    <row r="109" spans="1:16">
      <c r="A109" s="4" t="s">
        <v>42</v>
      </c>
      <c r="B109" s="4"/>
      <c r="C109" s="4"/>
      <c r="D109" s="4"/>
      <c r="E109" s="4"/>
      <c r="F109" s="4"/>
      <c r="G109" s="4"/>
      <c r="H109" s="4"/>
      <c r="I109" s="4"/>
      <c r="J109" s="4"/>
      <c r="K109" s="34">
        <v>6600</v>
      </c>
      <c r="L109" s="6" t="s">
        <v>146</v>
      </c>
      <c r="M109" s="4"/>
      <c r="N109" s="4"/>
      <c r="P109">
        <f>((K98^2*ASIN((K98^2-K113^2)^0.5/K98)-K113*(K98^2-K113^2)^0.5)/(PI()*K98^2))*2</f>
        <v>0.43393760564201794</v>
      </c>
    </row>
    <row r="110" spans="1:16">
      <c r="A110" s="5" t="s">
        <v>43</v>
      </c>
      <c r="B110" s="5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6">
      <c r="A111" s="4" t="s">
        <v>44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6">
      <c r="A112" s="4" t="s">
        <v>45</v>
      </c>
      <c r="B112" s="4"/>
      <c r="C112" s="4"/>
      <c r="D112" s="4"/>
      <c r="E112" s="4"/>
      <c r="F112" s="4"/>
      <c r="G112" s="28"/>
      <c r="H112" s="4"/>
      <c r="I112" s="4"/>
      <c r="J112" s="4"/>
      <c r="K112" s="4"/>
      <c r="L112" s="4"/>
      <c r="M112" s="4"/>
      <c r="N112" s="4"/>
    </row>
    <row r="113" spans="1:15">
      <c r="A113" s="4" t="s">
        <v>46</v>
      </c>
      <c r="B113" s="4"/>
      <c r="C113" s="4"/>
      <c r="D113" s="4"/>
      <c r="E113" s="28" t="s">
        <v>162</v>
      </c>
      <c r="F113" s="4" t="s">
        <v>177</v>
      </c>
      <c r="G113" s="7">
        <v>0</v>
      </c>
      <c r="H113" s="4" t="s">
        <v>129</v>
      </c>
      <c r="I113" s="4">
        <v>6</v>
      </c>
      <c r="J113" s="4" t="s">
        <v>129</v>
      </c>
      <c r="K113" s="4">
        <v>12</v>
      </c>
      <c r="L113" s="4" t="s">
        <v>129</v>
      </c>
      <c r="M113" s="4"/>
      <c r="N113" s="4"/>
    </row>
    <row r="114" spans="1:15" ht="15.6">
      <c r="A114" s="4"/>
      <c r="B114" s="4"/>
      <c r="C114" s="4"/>
      <c r="D114" s="4"/>
      <c r="E114" s="6" t="s">
        <v>223</v>
      </c>
      <c r="F114" s="52" t="s">
        <v>220</v>
      </c>
      <c r="G114" s="52"/>
      <c r="H114" s="52"/>
      <c r="I114" s="52"/>
      <c r="J114" s="52"/>
      <c r="K114" s="26">
        <f>((K98^2*ASIN((K98^2-G113^2)^0.5/K98)-G113*(K98^2-G113^2)^0.5)/(PI()*K98^2))*2</f>
        <v>1</v>
      </c>
      <c r="L114" s="15"/>
      <c r="M114" s="15"/>
      <c r="N114" s="4"/>
    </row>
    <row r="115" spans="1:15">
      <c r="A115" s="4"/>
      <c r="B115" s="4"/>
      <c r="C115" s="4"/>
      <c r="D115" s="4"/>
      <c r="E115" s="6" t="s">
        <v>221</v>
      </c>
      <c r="F115" s="4"/>
      <c r="G115" s="4"/>
      <c r="H115" s="4"/>
      <c r="I115" s="4"/>
      <c r="J115" s="25" t="str">
        <f t="shared" ref="J115:J116" si="1">CONCATENATE("=")</f>
        <v>=</v>
      </c>
      <c r="K115" s="20">
        <f>((K98^2*ASIN((K98^2-I113^2)^0.5/K98)-I113*(K98^2-I113^2)^0.5)/(PI()*K98^2))*2</f>
        <v>0.70880463874939181</v>
      </c>
      <c r="L115" s="4"/>
      <c r="M115" s="4"/>
      <c r="N115" s="4"/>
    </row>
    <row r="116" spans="1:15">
      <c r="A116" s="4"/>
      <c r="B116" s="4"/>
      <c r="C116" s="4"/>
      <c r="D116" s="4"/>
      <c r="E116" s="6" t="s">
        <v>222</v>
      </c>
      <c r="F116" s="4"/>
      <c r="G116" s="4"/>
      <c r="H116" s="4"/>
      <c r="I116" s="4"/>
      <c r="J116" s="25" t="str">
        <f t="shared" si="1"/>
        <v>=</v>
      </c>
      <c r="K116" s="2">
        <f>((K98^2*ASIN((K98^2-K113^2)^0.5/K98)-K113*(K98^2-K113^2)^0.5)/(PI()*K98^2))*2</f>
        <v>0.43393760564201794</v>
      </c>
      <c r="L116" s="4"/>
      <c r="M116" s="4"/>
      <c r="N116" s="4"/>
    </row>
    <row r="117" spans="1:15">
      <c r="A117" s="5" t="s">
        <v>47</v>
      </c>
      <c r="B117" s="5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5">
      <c r="A118" s="4" t="s">
        <v>48</v>
      </c>
      <c r="B118" s="4"/>
      <c r="C118" s="4"/>
      <c r="D118" s="15" t="s">
        <v>114</v>
      </c>
      <c r="E118" s="28" t="str">
        <f t="shared" ref="E118" si="2">CONCATENATE("=")</f>
        <v>=</v>
      </c>
      <c r="F118" s="15" t="s">
        <v>147</v>
      </c>
      <c r="G118" s="28"/>
      <c r="H118" s="4"/>
      <c r="I118" s="4"/>
      <c r="J118" s="28" t="str">
        <f t="shared" ref="J118" si="3">CONCATENATE("=")</f>
        <v>=</v>
      </c>
      <c r="K118" s="17">
        <f>K102*K70/K97</f>
        <v>5.5955199197425145</v>
      </c>
      <c r="L118" s="6" t="s">
        <v>148</v>
      </c>
      <c r="M118" s="4"/>
      <c r="N118" s="4"/>
    </row>
    <row r="119" spans="1:15">
      <c r="A119" s="4" t="s">
        <v>49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5">
      <c r="A120" s="4" t="s">
        <v>50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5">
      <c r="A121" s="4" t="s">
        <v>178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5">
      <c r="A122" s="4" t="s">
        <v>51</v>
      </c>
      <c r="B122" s="4"/>
      <c r="C122" s="4"/>
      <c r="D122" s="18" t="s">
        <v>149</v>
      </c>
      <c r="E122" s="18" t="s">
        <v>150</v>
      </c>
      <c r="F122" s="18"/>
      <c r="G122" s="7"/>
      <c r="H122" s="4"/>
      <c r="I122" s="4"/>
      <c r="J122" s="28" t="str">
        <f t="shared" ref="J122:J138" si="4">CONCATENATE("=")</f>
        <v>=</v>
      </c>
      <c r="K122" s="17">
        <f>10*K118</f>
        <v>55.955199197425145</v>
      </c>
      <c r="L122" s="6" t="s">
        <v>148</v>
      </c>
      <c r="M122" s="4"/>
      <c r="N122" s="4"/>
    </row>
    <row r="123" spans="1:15">
      <c r="A123" s="4" t="s">
        <v>52</v>
      </c>
      <c r="B123" s="4"/>
      <c r="C123" s="4"/>
      <c r="D123" s="18" t="s">
        <v>151</v>
      </c>
      <c r="E123" s="18" t="s">
        <v>179</v>
      </c>
      <c r="F123" s="18"/>
      <c r="G123" s="7"/>
      <c r="H123" s="4"/>
      <c r="I123" s="4"/>
      <c r="J123" s="28" t="str">
        <f t="shared" si="4"/>
        <v>=</v>
      </c>
      <c r="K123" s="19">
        <f>1.3*(PI()/4*K75^2)</f>
        <v>23.036709880151403</v>
      </c>
      <c r="L123" s="6" t="s">
        <v>152</v>
      </c>
      <c r="M123" s="4"/>
      <c r="N123" s="4"/>
    </row>
    <row r="124" spans="1:15">
      <c r="A124" s="4" t="s">
        <v>53</v>
      </c>
      <c r="B124" s="4"/>
      <c r="C124" s="4"/>
      <c r="D124" s="18" t="s">
        <v>153</v>
      </c>
      <c r="E124" s="18" t="s">
        <v>154</v>
      </c>
      <c r="F124" s="18"/>
      <c r="G124" s="7"/>
      <c r="H124" s="4"/>
      <c r="I124" s="4"/>
      <c r="J124" s="28" t="str">
        <f t="shared" si="4"/>
        <v>=</v>
      </c>
      <c r="K124" s="19">
        <f>K123*K122/(K122-K118)</f>
        <v>25.596344311279335</v>
      </c>
      <c r="L124" s="6" t="s">
        <v>152</v>
      </c>
      <c r="M124" s="4"/>
      <c r="N124" s="4"/>
      <c r="O124">
        <f>ASIN(0.976771023)</f>
        <v>1.3548358250508259</v>
      </c>
    </row>
    <row r="125" spans="1:15">
      <c r="A125" s="4" t="s">
        <v>54</v>
      </c>
      <c r="B125" s="4"/>
      <c r="C125" s="4"/>
      <c r="D125" s="18" t="s">
        <v>180</v>
      </c>
      <c r="E125" s="18"/>
      <c r="F125" s="18"/>
      <c r="G125" s="7"/>
      <c r="H125" s="4"/>
      <c r="I125" s="4"/>
      <c r="J125" s="28" t="str">
        <f t="shared" si="4"/>
        <v>=</v>
      </c>
      <c r="K125" s="17">
        <f>K124/K122</f>
        <v>0.45744353837377072</v>
      </c>
      <c r="L125" s="6" t="s">
        <v>129</v>
      </c>
      <c r="M125" s="4"/>
      <c r="N125" s="4"/>
    </row>
    <row r="126" spans="1:15">
      <c r="A126" s="5" t="s">
        <v>55</v>
      </c>
      <c r="B126" s="5"/>
      <c r="C126" s="5"/>
      <c r="D126" s="5"/>
      <c r="E126" s="4"/>
      <c r="F126" s="4"/>
      <c r="G126" s="7"/>
      <c r="H126" s="4"/>
      <c r="I126" s="4"/>
      <c r="J126" s="28"/>
      <c r="K126" s="6"/>
      <c r="L126" s="6"/>
      <c r="M126" s="4"/>
      <c r="N126" s="4"/>
    </row>
    <row r="127" spans="1:15">
      <c r="A127" s="4" t="s">
        <v>57</v>
      </c>
      <c r="B127" s="4"/>
      <c r="C127" s="4"/>
      <c r="D127" s="18" t="s">
        <v>181</v>
      </c>
      <c r="E127" s="18" t="s">
        <v>182</v>
      </c>
      <c r="F127" s="18"/>
      <c r="G127" s="7"/>
      <c r="H127" s="4"/>
      <c r="I127" s="4"/>
      <c r="J127" s="28" t="str">
        <f t="shared" si="4"/>
        <v>=</v>
      </c>
      <c r="K127" s="20">
        <f>K123+K118*K84</f>
        <v>56.609829398606493</v>
      </c>
      <c r="L127" s="6" t="s">
        <v>152</v>
      </c>
      <c r="M127" s="4"/>
      <c r="N127" s="4"/>
    </row>
    <row r="128" spans="1:15">
      <c r="A128" s="4" t="s">
        <v>117</v>
      </c>
      <c r="B128" s="4"/>
      <c r="C128" s="4"/>
      <c r="D128" s="18" t="s">
        <v>183</v>
      </c>
      <c r="E128" s="45" t="s">
        <v>184</v>
      </c>
      <c r="F128" s="45"/>
      <c r="G128" s="45"/>
      <c r="H128" s="4"/>
      <c r="I128" s="4"/>
      <c r="J128" s="28" t="str">
        <f t="shared" si="4"/>
        <v>=</v>
      </c>
      <c r="K128" s="17">
        <f>K127/K84</f>
        <v>9.4349715664344149</v>
      </c>
      <c r="L128" s="6" t="s">
        <v>148</v>
      </c>
      <c r="M128" s="4"/>
      <c r="N128" s="4"/>
    </row>
    <row r="129" spans="1:14">
      <c r="A129" s="4" t="s">
        <v>58</v>
      </c>
      <c r="B129" s="4"/>
      <c r="C129" s="4"/>
      <c r="D129" s="18" t="s">
        <v>185</v>
      </c>
      <c r="E129" s="45" t="s">
        <v>158</v>
      </c>
      <c r="F129" s="45"/>
      <c r="G129" s="45"/>
      <c r="H129" s="4"/>
      <c r="I129" s="4"/>
      <c r="J129" s="28" t="str">
        <f t="shared" si="4"/>
        <v>=</v>
      </c>
      <c r="K129" s="19">
        <f>4*K123*(K84-K125)</f>
        <v>510.72906080336782</v>
      </c>
      <c r="L129" s="6" t="s">
        <v>156</v>
      </c>
      <c r="M129" s="4"/>
      <c r="N129" s="4"/>
    </row>
    <row r="130" spans="1:14" ht="15.6">
      <c r="A130" s="4" t="s">
        <v>59</v>
      </c>
      <c r="B130" s="4"/>
      <c r="C130" s="4"/>
      <c r="D130" s="18" t="s">
        <v>186</v>
      </c>
      <c r="E130" s="45" t="s">
        <v>187</v>
      </c>
      <c r="F130" s="45"/>
      <c r="G130" s="45"/>
      <c r="H130" s="45"/>
      <c r="I130" s="6" t="s">
        <v>252</v>
      </c>
      <c r="J130" s="28" t="str">
        <f t="shared" si="4"/>
        <v>=</v>
      </c>
      <c r="K130" s="20">
        <f>K129/(2*PI()*K84^2*K128)</f>
        <v>0.23931372422736324</v>
      </c>
      <c r="L130" s="6"/>
      <c r="M130" s="4"/>
      <c r="N130" s="4"/>
    </row>
    <row r="131" spans="1:14" ht="16.2">
      <c r="A131" s="4" t="s">
        <v>60</v>
      </c>
      <c r="B131" s="4"/>
      <c r="C131" s="4"/>
      <c r="D131" s="18" t="s">
        <v>254</v>
      </c>
      <c r="E131" s="18" t="s">
        <v>160</v>
      </c>
      <c r="F131" s="18"/>
      <c r="G131" s="7"/>
      <c r="H131" s="4"/>
      <c r="I131" s="6" t="s">
        <v>253</v>
      </c>
      <c r="J131" s="28" t="str">
        <f t="shared" si="4"/>
        <v>=</v>
      </c>
      <c r="K131" s="17">
        <f>K84/K97</f>
        <v>1.0593220338983051</v>
      </c>
      <c r="L131" s="6"/>
      <c r="M131" s="4"/>
      <c r="N131" s="4"/>
    </row>
    <row r="132" spans="1:14">
      <c r="A132" s="5" t="s">
        <v>61</v>
      </c>
      <c r="B132" s="5"/>
      <c r="C132" s="5"/>
      <c r="D132" s="5"/>
      <c r="E132" s="4"/>
      <c r="F132" s="4"/>
      <c r="G132" s="7"/>
      <c r="H132" s="4"/>
      <c r="I132" s="4"/>
      <c r="J132" s="28" t="str">
        <f t="shared" si="4"/>
        <v>=</v>
      </c>
      <c r="K132" s="6"/>
      <c r="L132" s="6"/>
      <c r="M132" s="4"/>
      <c r="N132" s="4"/>
    </row>
    <row r="133" spans="1:14">
      <c r="A133" s="4" t="s">
        <v>62</v>
      </c>
      <c r="B133" s="4"/>
      <c r="C133" s="4"/>
      <c r="D133" s="4"/>
      <c r="E133" s="4"/>
      <c r="F133" s="4"/>
      <c r="G133" s="4"/>
      <c r="H133" s="4"/>
      <c r="I133" s="4"/>
      <c r="J133" s="4"/>
      <c r="K133" s="6"/>
      <c r="L133" s="6"/>
      <c r="M133" s="4"/>
      <c r="N133" s="4"/>
    </row>
    <row r="134" spans="1:14">
      <c r="A134" s="4" t="s">
        <v>188</v>
      </c>
      <c r="B134" s="4"/>
      <c r="C134" s="4"/>
      <c r="D134" s="18" t="s">
        <v>189</v>
      </c>
      <c r="E134" s="45" t="s">
        <v>190</v>
      </c>
      <c r="F134" s="45"/>
      <c r="G134" s="45"/>
      <c r="H134" s="18" t="s">
        <v>191</v>
      </c>
      <c r="I134" s="4"/>
      <c r="J134" s="28" t="str">
        <f t="shared" si="4"/>
        <v>=</v>
      </c>
      <c r="K134" s="19">
        <f>K123+0.95*K118*K85</f>
        <v>86.825636965216077</v>
      </c>
      <c r="L134" s="6" t="s">
        <v>157</v>
      </c>
      <c r="M134" s="4"/>
      <c r="N134" s="4"/>
    </row>
    <row r="135" spans="1:14">
      <c r="A135" s="47" t="s">
        <v>192</v>
      </c>
      <c r="B135" s="47"/>
      <c r="C135" s="47"/>
      <c r="D135" s="18" t="s">
        <v>193</v>
      </c>
      <c r="E135" s="45" t="s">
        <v>194</v>
      </c>
      <c r="F135" s="45"/>
      <c r="G135" s="45"/>
      <c r="H135" s="46" t="s">
        <v>195</v>
      </c>
      <c r="I135" s="46"/>
      <c r="J135" s="28" t="str">
        <f t="shared" si="4"/>
        <v>=</v>
      </c>
      <c r="K135" s="17">
        <f>K134/K85</f>
        <v>7.2354697471013401</v>
      </c>
      <c r="L135" s="6" t="s">
        <v>146</v>
      </c>
      <c r="M135" s="4"/>
      <c r="N135" s="4"/>
    </row>
    <row r="136" spans="1:14">
      <c r="A136" s="4" t="s">
        <v>58</v>
      </c>
      <c r="B136" s="4"/>
      <c r="C136" s="4"/>
      <c r="D136" s="18" t="s">
        <v>196</v>
      </c>
      <c r="E136" s="45" t="s">
        <v>158</v>
      </c>
      <c r="F136" s="45"/>
      <c r="G136" s="45"/>
      <c r="H136" s="46" t="s">
        <v>197</v>
      </c>
      <c r="I136" s="46"/>
      <c r="J136" s="28" t="str">
        <f t="shared" si="4"/>
        <v>=</v>
      </c>
      <c r="K136" s="17">
        <f>4*K123*(K85-K125)</f>
        <v>1063.6100979270016</v>
      </c>
      <c r="L136" s="6" t="s">
        <v>146</v>
      </c>
      <c r="M136" s="4"/>
      <c r="N136" s="4"/>
    </row>
    <row r="137" spans="1:14">
      <c r="A137" s="4" t="s">
        <v>59</v>
      </c>
      <c r="B137" s="4"/>
      <c r="C137" s="4"/>
      <c r="D137" s="18" t="s">
        <v>159</v>
      </c>
      <c r="E137" s="18" t="s">
        <v>187</v>
      </c>
      <c r="F137" s="18"/>
      <c r="G137" s="18"/>
      <c r="H137" s="18" t="s">
        <v>198</v>
      </c>
      <c r="I137" s="4"/>
      <c r="J137" s="28" t="str">
        <f t="shared" si="4"/>
        <v>=</v>
      </c>
      <c r="K137" s="20">
        <f>K136/(2*PI()*K85^2*K135)</f>
        <v>0.16247006694899851</v>
      </c>
      <c r="L137" s="6"/>
      <c r="M137" s="4"/>
      <c r="N137" s="4"/>
    </row>
    <row r="138" spans="1:14" ht="16.2">
      <c r="A138" s="4" t="s">
        <v>199</v>
      </c>
      <c r="B138" s="4"/>
      <c r="C138" s="4"/>
      <c r="D138" s="21" t="s">
        <v>255</v>
      </c>
      <c r="E138" s="18" t="s">
        <v>160</v>
      </c>
      <c r="F138" s="18"/>
      <c r="G138" s="18"/>
      <c r="H138" s="18"/>
      <c r="I138" s="4"/>
      <c r="J138" s="28" t="str">
        <f t="shared" si="4"/>
        <v>=</v>
      </c>
      <c r="K138" s="17">
        <f>K85/K97</f>
        <v>2.1186440677966103</v>
      </c>
      <c r="L138" s="6"/>
      <c r="M138" s="4"/>
      <c r="N138" s="4"/>
    </row>
    <row r="139" spans="1:14">
      <c r="A139" s="6" t="s">
        <v>63</v>
      </c>
      <c r="B139" s="6"/>
      <c r="C139" s="6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>
      <c r="A140" s="4" t="s">
        <v>64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>
      <c r="A141" s="4" t="s">
        <v>65</v>
      </c>
      <c r="B141" s="4"/>
      <c r="C141" s="4"/>
      <c r="D141" s="5"/>
      <c r="E141" s="4"/>
      <c r="F141" s="4"/>
      <c r="G141" s="28" t="str">
        <f t="shared" ref="F141:J154" si="5">CONCATENATE("=")</f>
        <v>=</v>
      </c>
      <c r="H141" s="4"/>
      <c r="I141" s="4"/>
      <c r="J141" s="4"/>
      <c r="K141" s="4"/>
      <c r="L141" s="4"/>
      <c r="M141" s="4"/>
      <c r="N141" s="4"/>
    </row>
    <row r="142" spans="1:14">
      <c r="A142" s="5" t="s">
        <v>66</v>
      </c>
      <c r="B142" s="5"/>
      <c r="C142" s="5"/>
      <c r="D142" s="4"/>
      <c r="E142" s="4"/>
      <c r="F142" s="4"/>
      <c r="G142" s="28"/>
      <c r="H142" s="4"/>
      <c r="I142" s="4"/>
      <c r="J142" s="4"/>
      <c r="K142" s="4"/>
      <c r="L142" s="4"/>
      <c r="M142" s="4"/>
      <c r="N142" s="4"/>
    </row>
    <row r="143" spans="1:14">
      <c r="A143" s="4" t="s">
        <v>67</v>
      </c>
      <c r="B143" s="4"/>
      <c r="C143" s="4"/>
      <c r="D143" s="7"/>
      <c r="E143" s="15"/>
      <c r="F143" s="15"/>
      <c r="G143" s="7"/>
      <c r="H143" s="4"/>
      <c r="I143" s="15" t="s">
        <v>161</v>
      </c>
      <c r="J143" s="28">
        <v>0</v>
      </c>
      <c r="K143" s="4" t="s">
        <v>129</v>
      </c>
      <c r="L143" s="4" t="s">
        <v>118</v>
      </c>
      <c r="M143" s="21" t="s">
        <v>225</v>
      </c>
      <c r="N143" s="22">
        <v>0</v>
      </c>
    </row>
    <row r="144" spans="1:14" ht="15.6">
      <c r="A144" s="4" t="s">
        <v>200</v>
      </c>
      <c r="B144" s="4"/>
      <c r="C144" s="4"/>
      <c r="D144" s="4"/>
      <c r="E144" s="15" t="s">
        <v>226</v>
      </c>
      <c r="F144" s="45" t="s">
        <v>227</v>
      </c>
      <c r="G144" s="45"/>
      <c r="H144" s="45"/>
      <c r="I144" s="45"/>
      <c r="J144" s="15" t="s">
        <v>226</v>
      </c>
      <c r="K144" s="9">
        <v>0</v>
      </c>
      <c r="L144" s="4"/>
      <c r="M144" s="4"/>
      <c r="N144" s="4"/>
    </row>
    <row r="145" spans="1:14" ht="17.399999999999999">
      <c r="A145" s="4" t="s">
        <v>68</v>
      </c>
      <c r="B145" s="4"/>
      <c r="C145" s="4"/>
      <c r="D145" s="4"/>
      <c r="E145" s="14" t="s">
        <v>201</v>
      </c>
      <c r="F145" s="28" t="str">
        <f t="shared" si="5"/>
        <v>=</v>
      </c>
      <c r="G145" s="49" t="s">
        <v>224</v>
      </c>
      <c r="H145" s="49"/>
      <c r="I145" s="49"/>
      <c r="J145" s="28" t="str">
        <f t="shared" si="5"/>
        <v>=</v>
      </c>
      <c r="K145" s="9">
        <f>K71-K144</f>
        <v>6</v>
      </c>
      <c r="L145" s="4"/>
      <c r="M145" s="4"/>
      <c r="N145" s="4"/>
    </row>
    <row r="146" spans="1:14">
      <c r="A146" s="4" t="s">
        <v>202</v>
      </c>
      <c r="B146" s="4"/>
      <c r="C146" s="4"/>
      <c r="D146" s="4"/>
      <c r="E146" s="46" t="s">
        <v>228</v>
      </c>
      <c r="F146" s="46"/>
      <c r="G146" s="52" t="s">
        <v>203</v>
      </c>
      <c r="H146" s="52"/>
      <c r="I146" s="52"/>
      <c r="J146" s="28" t="str">
        <f t="shared" si="5"/>
        <v>=</v>
      </c>
      <c r="K146" s="33">
        <f>K105*K99*K145/(6*K103)*K114</f>
        <v>5290.8709626877117</v>
      </c>
      <c r="L146" s="4" t="s">
        <v>133</v>
      </c>
      <c r="M146" s="4"/>
      <c r="N146" s="4"/>
    </row>
    <row r="147" spans="1:14" ht="16.2">
      <c r="A147" s="4" t="s">
        <v>70</v>
      </c>
      <c r="B147" s="4"/>
      <c r="C147" s="4"/>
      <c r="D147" s="4"/>
      <c r="E147" s="46" t="s">
        <v>229</v>
      </c>
      <c r="F147" s="46"/>
      <c r="G147" s="45" t="s">
        <v>231</v>
      </c>
      <c r="H147" s="45"/>
      <c r="I147" s="45"/>
      <c r="J147" s="28" t="str">
        <f t="shared" si="5"/>
        <v>=</v>
      </c>
      <c r="K147" s="34">
        <f>PI()/(8)^0.5*K70*K103*(K98/K97)*K99*K114</f>
        <v>3963.8112096827308</v>
      </c>
      <c r="L147" s="6" t="s">
        <v>133</v>
      </c>
      <c r="M147" s="4"/>
      <c r="N147" s="4"/>
    </row>
    <row r="148" spans="1:14">
      <c r="A148" s="4" t="s">
        <v>71</v>
      </c>
      <c r="B148" s="4"/>
      <c r="C148" s="4"/>
      <c r="D148" s="4"/>
      <c r="E148" s="46" t="s">
        <v>230</v>
      </c>
      <c r="F148" s="46"/>
      <c r="G148" s="45" t="s">
        <v>232</v>
      </c>
      <c r="H148" s="45"/>
      <c r="I148" s="45"/>
      <c r="J148" s="28" t="str">
        <f t="shared" si="5"/>
        <v>=</v>
      </c>
      <c r="K148" s="34">
        <f>MIN(K146:K147)</f>
        <v>3963.8112096827308</v>
      </c>
      <c r="L148" s="4" t="s">
        <v>133</v>
      </c>
      <c r="M148" s="4"/>
      <c r="N148" s="4"/>
    </row>
    <row r="149" spans="1:14" ht="16.2">
      <c r="A149" s="4" t="s">
        <v>72</v>
      </c>
      <c r="B149" s="4"/>
      <c r="C149" s="4"/>
      <c r="D149" s="5"/>
      <c r="E149" s="14" t="s">
        <v>204</v>
      </c>
      <c r="F149" s="14"/>
      <c r="G149" s="14"/>
      <c r="H149" s="14"/>
      <c r="I149" s="4"/>
      <c r="J149" s="28" t="str">
        <f t="shared" si="5"/>
        <v>=</v>
      </c>
      <c r="K149" s="34">
        <f>K148/K87</f>
        <v>1321.2704032275769</v>
      </c>
      <c r="L149" s="4" t="s">
        <v>133</v>
      </c>
      <c r="M149" s="4"/>
      <c r="N149" s="4"/>
    </row>
    <row r="150" spans="1:14">
      <c r="A150" s="5" t="s">
        <v>73</v>
      </c>
      <c r="B150" s="5"/>
      <c r="C150" s="5"/>
      <c r="D150" s="4"/>
      <c r="E150" s="4"/>
      <c r="F150" s="4"/>
      <c r="G150" s="7"/>
      <c r="H150" s="4"/>
      <c r="I150" s="4"/>
      <c r="J150" s="28" t="str">
        <f t="shared" si="5"/>
        <v>=</v>
      </c>
      <c r="K150" s="4"/>
      <c r="L150" s="4"/>
      <c r="M150" s="4"/>
      <c r="N150" s="4"/>
    </row>
    <row r="151" spans="1:14">
      <c r="A151" s="4" t="s">
        <v>74</v>
      </c>
      <c r="B151" s="4"/>
      <c r="C151" s="4"/>
      <c r="D151" s="16" t="s">
        <v>237</v>
      </c>
      <c r="E151" s="16">
        <v>12</v>
      </c>
      <c r="F151" s="16" t="s">
        <v>129</v>
      </c>
      <c r="G151" s="16"/>
      <c r="H151" s="16"/>
      <c r="J151" s="28" t="str">
        <f t="shared" si="5"/>
        <v>=</v>
      </c>
      <c r="K151" s="4" t="s">
        <v>118</v>
      </c>
      <c r="L151" s="6" t="s">
        <v>236</v>
      </c>
      <c r="M151" s="9">
        <v>0</v>
      </c>
      <c r="N151" s="4"/>
    </row>
    <row r="152" spans="1:14">
      <c r="A152" s="4" t="s">
        <v>75</v>
      </c>
      <c r="B152" s="4"/>
      <c r="C152" s="4"/>
      <c r="D152" s="15" t="s">
        <v>234</v>
      </c>
      <c r="E152" s="16" t="s">
        <v>235</v>
      </c>
      <c r="F152" s="16">
        <v>12</v>
      </c>
      <c r="G152" s="16" t="s">
        <v>129</v>
      </c>
      <c r="I152" s="16"/>
      <c r="J152" s="28" t="str">
        <f t="shared" si="5"/>
        <v>=</v>
      </c>
      <c r="K152" s="20">
        <f>K116</f>
        <v>0.43393760564201794</v>
      </c>
      <c r="L152" s="4"/>
      <c r="M152" s="23"/>
      <c r="N152" s="4"/>
    </row>
    <row r="153" spans="1:14" ht="17.399999999999999">
      <c r="A153" s="4" t="s">
        <v>205</v>
      </c>
      <c r="B153" s="4"/>
      <c r="C153" s="4"/>
      <c r="D153" s="10" t="s">
        <v>246</v>
      </c>
      <c r="E153" s="16" t="str">
        <f>CONCATENATE("=")</f>
        <v>=</v>
      </c>
      <c r="F153" s="48" t="s">
        <v>238</v>
      </c>
      <c r="G153" s="48"/>
      <c r="H153" s="48"/>
      <c r="I153" s="48"/>
      <c r="J153" s="28" t="str">
        <f t="shared" si="5"/>
        <v>=</v>
      </c>
      <c r="K153" s="17">
        <f>E151/K97+(K98^2*M151)/(2*K77*K97)</f>
        <v>2.1186440677966103</v>
      </c>
      <c r="L153" s="4"/>
      <c r="M153" s="4"/>
      <c r="N153" s="4"/>
    </row>
    <row r="154" spans="1:14" ht="17.399999999999999">
      <c r="A154" s="4" t="s">
        <v>76</v>
      </c>
      <c r="B154" s="4"/>
      <c r="C154" s="4"/>
      <c r="D154" s="10" t="s">
        <v>201</v>
      </c>
      <c r="E154" s="16" t="str">
        <f>CONCATENATE("=")</f>
        <v>=</v>
      </c>
      <c r="F154" s="49" t="s">
        <v>239</v>
      </c>
      <c r="G154" s="49"/>
      <c r="H154" s="49"/>
      <c r="I154" s="49"/>
      <c r="J154" s="28" t="str">
        <f t="shared" si="5"/>
        <v>=</v>
      </c>
      <c r="K154" s="17">
        <f>K71-K153</f>
        <v>3.8813559322033897</v>
      </c>
      <c r="L154" s="4"/>
      <c r="M154" s="4"/>
      <c r="N154" s="4"/>
    </row>
    <row r="155" spans="1:14">
      <c r="A155" s="6" t="s">
        <v>49</v>
      </c>
      <c r="B155" s="4"/>
      <c r="C155" s="4"/>
      <c r="D155" s="4"/>
      <c r="E155" s="4"/>
      <c r="F155" s="4"/>
      <c r="G155" s="7"/>
      <c r="H155" s="7"/>
      <c r="I155" s="7"/>
      <c r="J155" s="7"/>
      <c r="K155" s="7"/>
      <c r="L155" s="7"/>
      <c r="M155" s="7"/>
      <c r="N155" s="4"/>
    </row>
    <row r="156" spans="1:14">
      <c r="A156" s="47" t="s">
        <v>119</v>
      </c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"/>
    </row>
    <row r="157" spans="1:14">
      <c r="A157" s="4" t="s">
        <v>77</v>
      </c>
      <c r="B157" s="4"/>
      <c r="C157" s="4"/>
      <c r="D157" s="4"/>
      <c r="E157" s="4"/>
      <c r="F157" s="4"/>
      <c r="G157" s="7"/>
      <c r="H157" s="4"/>
      <c r="I157" s="4"/>
      <c r="J157" s="4"/>
      <c r="K157" s="4"/>
      <c r="M157" s="4"/>
      <c r="N157" s="4"/>
    </row>
    <row r="158" spans="1:14">
      <c r="A158" s="4" t="s">
        <v>69</v>
      </c>
      <c r="B158" s="4"/>
      <c r="C158" s="4"/>
      <c r="D158" s="4"/>
      <c r="E158" s="15" t="s">
        <v>240</v>
      </c>
      <c r="F158" s="15"/>
      <c r="G158" s="15"/>
      <c r="H158" s="15"/>
      <c r="I158" s="15" t="s">
        <v>241</v>
      </c>
      <c r="J158" s="28" t="str">
        <f t="shared" ref="J158:J194" si="6">CONCATENATE("=")</f>
        <v>=</v>
      </c>
      <c r="K158" s="30">
        <f>1.25*K105*K99*K154/(6*K103)*K152</f>
        <v>1856.507429039176</v>
      </c>
      <c r="L158" t="s">
        <v>133</v>
      </c>
      <c r="M158" s="4"/>
      <c r="N158" s="4"/>
    </row>
    <row r="159" spans="1:14">
      <c r="A159" s="4" t="s">
        <v>78</v>
      </c>
      <c r="B159" s="4"/>
      <c r="C159" s="4"/>
      <c r="D159" s="15" t="s">
        <v>242</v>
      </c>
      <c r="E159" s="15" t="s">
        <v>243</v>
      </c>
      <c r="F159" s="15"/>
      <c r="G159" s="15"/>
      <c r="H159" s="15"/>
      <c r="I159" s="27" t="s">
        <v>244</v>
      </c>
      <c r="J159" s="28" t="str">
        <f t="shared" si="6"/>
        <v>=</v>
      </c>
      <c r="K159" s="35">
        <f xml:space="preserve"> 1.25*PI()/(8)^0.5*K70*K103*(K98/K97)*K99*K152</f>
        <v>2150.0584319333934</v>
      </c>
      <c r="L159" t="s">
        <v>133</v>
      </c>
      <c r="M159" s="4"/>
      <c r="N159" s="4"/>
    </row>
    <row r="160" spans="1:14" ht="15.6">
      <c r="A160" s="4" t="s">
        <v>71</v>
      </c>
      <c r="B160" s="4"/>
      <c r="C160" s="4"/>
      <c r="D160" s="6" t="s">
        <v>245</v>
      </c>
      <c r="E160" s="31"/>
      <c r="F160" s="50" t="s">
        <v>247</v>
      </c>
      <c r="G160" s="50"/>
      <c r="H160" s="50"/>
      <c r="I160" s="50"/>
      <c r="J160" s="28" t="str">
        <f t="shared" si="6"/>
        <v>=</v>
      </c>
      <c r="K160" s="34">
        <f>MIN(K158:K159)</f>
        <v>1856.507429039176</v>
      </c>
      <c r="L160" t="s">
        <v>133</v>
      </c>
      <c r="M160" s="4"/>
      <c r="N160" s="4"/>
    </row>
    <row r="161" spans="1:14" ht="16.2">
      <c r="A161" s="4" t="s">
        <v>79</v>
      </c>
      <c r="B161" s="4"/>
      <c r="C161" s="4"/>
      <c r="D161" s="4"/>
      <c r="E161" s="6" t="s">
        <v>245</v>
      </c>
      <c r="F161" s="6"/>
      <c r="G161" s="7" t="s">
        <v>248</v>
      </c>
      <c r="H161" s="4"/>
      <c r="I161" s="4"/>
      <c r="J161" s="28" t="str">
        <f t="shared" si="6"/>
        <v>=</v>
      </c>
      <c r="K161" s="32">
        <f>K160/K101</f>
        <v>3.6174518201775805</v>
      </c>
      <c r="M161" s="4"/>
      <c r="N161" s="28"/>
    </row>
    <row r="162" spans="1:14">
      <c r="A162" s="4"/>
      <c r="B162" s="4"/>
      <c r="C162" s="4"/>
      <c r="D162" s="4"/>
      <c r="E162" s="4"/>
      <c r="F162" s="4"/>
      <c r="G162" s="7"/>
      <c r="H162" s="4"/>
      <c r="I162" s="4"/>
      <c r="J162" s="28" t="str">
        <f t="shared" si="6"/>
        <v>=</v>
      </c>
      <c r="K162" s="4"/>
      <c r="M162" s="4"/>
      <c r="N162" s="4"/>
    </row>
    <row r="163" spans="1:14">
      <c r="A163" s="4"/>
      <c r="B163" s="4"/>
      <c r="C163" s="4"/>
      <c r="D163" s="4"/>
      <c r="E163" s="4"/>
      <c r="F163" s="4"/>
      <c r="G163" s="7"/>
      <c r="H163" s="4"/>
      <c r="I163" s="4"/>
      <c r="J163" s="28"/>
      <c r="K163" s="4"/>
      <c r="L163" s="28"/>
      <c r="M163" s="4"/>
      <c r="N163" s="4"/>
    </row>
    <row r="164" spans="1:14">
      <c r="A164" s="4"/>
      <c r="B164" s="4"/>
      <c r="C164" s="4"/>
      <c r="D164" s="4"/>
      <c r="E164" s="4"/>
      <c r="F164" s="4"/>
      <c r="G164" s="7"/>
      <c r="H164" s="4"/>
      <c r="I164" s="4"/>
      <c r="J164" s="4"/>
      <c r="K164" s="4"/>
      <c r="L164" s="28"/>
      <c r="M164" s="4"/>
      <c r="N164" s="4"/>
    </row>
    <row r="165" spans="1:14">
      <c r="A165" s="4"/>
      <c r="B165" s="4"/>
      <c r="C165" s="4"/>
      <c r="D165" s="4"/>
      <c r="E165" s="4"/>
      <c r="F165" s="4"/>
      <c r="G165" s="7"/>
      <c r="H165" s="4"/>
      <c r="I165" s="4"/>
      <c r="J165" s="4"/>
      <c r="K165" s="7"/>
      <c r="L165" s="28"/>
      <c r="M165" s="4"/>
      <c r="N165" s="4"/>
    </row>
    <row r="166" spans="1:14" ht="15.6">
      <c r="A166" s="24" t="s">
        <v>80</v>
      </c>
      <c r="B166" s="24"/>
      <c r="C166" s="4"/>
      <c r="D166" s="4"/>
      <c r="E166" s="4"/>
      <c r="F166" s="4"/>
      <c r="G166" s="7"/>
      <c r="H166" s="4"/>
      <c r="I166" s="4"/>
      <c r="J166" s="4"/>
      <c r="K166" s="7"/>
      <c r="L166" s="28"/>
      <c r="M166" s="4"/>
      <c r="N166" s="4"/>
    </row>
    <row r="167" spans="1:14">
      <c r="A167" s="5" t="s">
        <v>81</v>
      </c>
      <c r="B167" s="5"/>
      <c r="C167" s="6"/>
      <c r="D167" s="4"/>
      <c r="E167" s="4"/>
      <c r="F167" s="4"/>
      <c r="M167" s="4"/>
      <c r="N167" s="4"/>
    </row>
    <row r="168" spans="1:14">
      <c r="A168" s="4" t="s">
        <v>9</v>
      </c>
      <c r="B168" s="4"/>
      <c r="C168" s="4"/>
      <c r="D168" s="4"/>
      <c r="E168" s="4"/>
      <c r="F168" s="4"/>
      <c r="G168" s="4"/>
      <c r="H168" s="4"/>
      <c r="I168" s="4" t="s">
        <v>120</v>
      </c>
      <c r="J168" s="28" t="str">
        <f t="shared" si="6"/>
        <v>=</v>
      </c>
      <c r="K168" s="31">
        <f>K73</f>
        <v>27.5</v>
      </c>
      <c r="L168" s="31" t="s">
        <v>129</v>
      </c>
      <c r="M168" s="4"/>
      <c r="N168" s="4"/>
    </row>
    <row r="169" spans="1:14">
      <c r="A169" s="4" t="s">
        <v>10</v>
      </c>
      <c r="B169" s="4"/>
      <c r="C169" s="4"/>
      <c r="D169" s="4"/>
      <c r="E169" s="4"/>
      <c r="F169" s="4"/>
      <c r="G169" s="4"/>
      <c r="H169" s="4"/>
      <c r="I169" s="4" t="s">
        <v>121</v>
      </c>
      <c r="J169" s="28" t="str">
        <f t="shared" si="6"/>
        <v>=</v>
      </c>
      <c r="K169" s="31">
        <f>K74</f>
        <v>24</v>
      </c>
      <c r="L169" s="31" t="s">
        <v>129</v>
      </c>
      <c r="M169" s="4"/>
      <c r="N169" s="4"/>
    </row>
    <row r="170" spans="1:14">
      <c r="A170" s="4" t="s">
        <v>11</v>
      </c>
      <c r="B170" s="4"/>
      <c r="C170" s="4"/>
      <c r="D170" s="4"/>
      <c r="E170" s="4"/>
      <c r="F170" s="4"/>
      <c r="G170" s="4"/>
      <c r="H170" s="4"/>
      <c r="I170" s="4" t="s">
        <v>1</v>
      </c>
      <c r="J170" s="28" t="str">
        <f t="shared" si="6"/>
        <v>=</v>
      </c>
      <c r="K170" s="31">
        <f>K75</f>
        <v>4.75</v>
      </c>
      <c r="L170" s="31" t="s">
        <v>129</v>
      </c>
      <c r="M170" s="4"/>
      <c r="N170" s="4"/>
    </row>
    <row r="171" spans="1:14" ht="15.6">
      <c r="A171" s="4" t="s">
        <v>12</v>
      </c>
      <c r="B171" s="4"/>
      <c r="C171" s="4"/>
      <c r="D171" s="4"/>
      <c r="E171" s="4"/>
      <c r="F171" s="4"/>
      <c r="G171" s="4"/>
      <c r="H171" s="4"/>
      <c r="I171" s="23" t="s">
        <v>206</v>
      </c>
      <c r="J171" s="28" t="str">
        <f t="shared" si="6"/>
        <v>=</v>
      </c>
      <c r="K171" s="31">
        <f>K76</f>
        <v>0.1196</v>
      </c>
      <c r="L171" s="31" t="s">
        <v>129</v>
      </c>
      <c r="M171" s="4"/>
      <c r="N171" s="4"/>
    </row>
    <row r="172" spans="1:14" ht="15.6">
      <c r="A172" s="4" t="s">
        <v>83</v>
      </c>
      <c r="B172" s="4"/>
      <c r="C172" s="4"/>
      <c r="D172" s="4"/>
      <c r="E172" s="4"/>
      <c r="F172" s="4"/>
      <c r="G172" s="4"/>
      <c r="H172" s="4"/>
      <c r="I172" s="23" t="s">
        <v>207</v>
      </c>
      <c r="J172" s="28" t="str">
        <f t="shared" si="6"/>
        <v>=</v>
      </c>
      <c r="K172" s="31">
        <f>K77</f>
        <v>0.23599999999999999</v>
      </c>
      <c r="L172" s="31" t="s">
        <v>129</v>
      </c>
      <c r="M172" s="4"/>
      <c r="N172" s="4"/>
    </row>
    <row r="173" spans="1:14">
      <c r="A173" s="4" t="s">
        <v>13</v>
      </c>
      <c r="B173" s="4"/>
      <c r="C173" s="4"/>
      <c r="D173" s="4"/>
      <c r="E173" s="4"/>
      <c r="F173" s="4"/>
      <c r="G173" s="4"/>
      <c r="H173" s="4"/>
      <c r="I173" s="23" t="s">
        <v>0</v>
      </c>
      <c r="J173" s="28" t="str">
        <f t="shared" si="6"/>
        <v>=</v>
      </c>
      <c r="K173" s="31">
        <f>K78/25.4</f>
        <v>0.75000000000000011</v>
      </c>
      <c r="L173" s="31" t="s">
        <v>129</v>
      </c>
      <c r="M173" s="4"/>
      <c r="N173" s="4"/>
    </row>
    <row r="174" spans="1:14" ht="15.6">
      <c r="A174" s="4" t="s">
        <v>14</v>
      </c>
      <c r="B174" s="4"/>
      <c r="C174" s="4"/>
      <c r="D174" s="4"/>
      <c r="E174" s="4"/>
      <c r="F174" s="4"/>
      <c r="G174" s="4"/>
      <c r="H174" s="4"/>
      <c r="I174" s="23" t="s">
        <v>208</v>
      </c>
      <c r="J174" s="28" t="str">
        <f t="shared" si="6"/>
        <v>=</v>
      </c>
      <c r="K174" s="31">
        <f>K79</f>
        <v>1</v>
      </c>
      <c r="L174" s="31" t="s">
        <v>129</v>
      </c>
      <c r="M174" s="4"/>
      <c r="N174" s="4"/>
    </row>
    <row r="175" spans="1:14" ht="15.6">
      <c r="A175" s="4" t="s">
        <v>15</v>
      </c>
      <c r="B175" s="4"/>
      <c r="C175" s="4"/>
      <c r="D175" s="4"/>
      <c r="E175" s="4"/>
      <c r="F175" s="4"/>
      <c r="G175" s="4"/>
      <c r="H175" s="4"/>
      <c r="I175" s="23" t="s">
        <v>209</v>
      </c>
      <c r="J175" s="28" t="str">
        <f t="shared" si="6"/>
        <v>=</v>
      </c>
      <c r="K175" s="31">
        <f>K80</f>
        <v>1</v>
      </c>
      <c r="L175" s="31" t="s">
        <v>129</v>
      </c>
      <c r="M175" s="4"/>
      <c r="N175" s="4"/>
    </row>
    <row r="176" spans="1:14" ht="15.6">
      <c r="A176" s="4" t="s">
        <v>16</v>
      </c>
      <c r="B176" s="4"/>
      <c r="C176" s="4"/>
      <c r="D176" s="4"/>
      <c r="E176" s="4"/>
      <c r="F176" s="4"/>
      <c r="G176" s="4"/>
      <c r="H176" s="4"/>
      <c r="I176" s="23" t="s">
        <v>210</v>
      </c>
      <c r="J176" s="28" t="str">
        <f t="shared" si="6"/>
        <v>=</v>
      </c>
      <c r="K176" s="31">
        <f>K81</f>
        <v>1</v>
      </c>
      <c r="L176" s="31" t="s">
        <v>129</v>
      </c>
      <c r="M176" s="4"/>
      <c r="N176" s="4"/>
    </row>
    <row r="177" spans="1:14" ht="15.6">
      <c r="A177" s="4" t="s">
        <v>82</v>
      </c>
      <c r="B177" s="4"/>
      <c r="C177" s="4"/>
      <c r="D177" s="4"/>
      <c r="E177" s="4"/>
      <c r="F177" s="4"/>
      <c r="G177" s="4"/>
      <c r="H177" s="4"/>
      <c r="I177" s="23" t="s">
        <v>211</v>
      </c>
      <c r="J177" s="28" t="str">
        <f t="shared" si="6"/>
        <v>=</v>
      </c>
      <c r="K177" s="36">
        <f>K82/25.4</f>
        <v>12.4148</v>
      </c>
      <c r="L177" s="31" t="s">
        <v>129</v>
      </c>
      <c r="M177" s="4"/>
      <c r="N177" s="4"/>
    </row>
    <row r="178" spans="1:14">
      <c r="A178" s="5" t="s">
        <v>84</v>
      </c>
      <c r="B178" s="5"/>
      <c r="C178" s="4"/>
      <c r="D178" s="4"/>
      <c r="E178" s="4"/>
      <c r="F178" s="4"/>
      <c r="G178" s="4"/>
      <c r="H178" s="4"/>
      <c r="I178" s="4"/>
      <c r="J178" s="28" t="str">
        <f t="shared" si="6"/>
        <v>=</v>
      </c>
      <c r="K178" s="31"/>
      <c r="L178" s="31"/>
      <c r="M178" s="4"/>
      <c r="N178" s="4"/>
    </row>
    <row r="179" spans="1:14">
      <c r="A179" s="4" t="s">
        <v>85</v>
      </c>
      <c r="B179" s="4"/>
      <c r="C179" s="4"/>
      <c r="D179" s="4"/>
      <c r="E179" s="4"/>
      <c r="F179" s="4"/>
      <c r="G179" s="4"/>
      <c r="H179" s="4"/>
      <c r="I179" s="4" t="s">
        <v>212</v>
      </c>
      <c r="J179" s="28" t="str">
        <f t="shared" si="6"/>
        <v>=</v>
      </c>
      <c r="K179" s="37">
        <f>K84</f>
        <v>6</v>
      </c>
      <c r="L179" s="31" t="s">
        <v>129</v>
      </c>
      <c r="M179" s="4"/>
      <c r="N179" s="4"/>
    </row>
    <row r="180" spans="1:14">
      <c r="A180" s="4" t="s">
        <v>86</v>
      </c>
      <c r="B180" s="4"/>
      <c r="C180" s="4"/>
      <c r="D180" s="4"/>
      <c r="E180" s="4"/>
      <c r="F180" s="4"/>
      <c r="G180" s="4"/>
      <c r="H180" s="4"/>
      <c r="I180" s="4" t="s">
        <v>213</v>
      </c>
      <c r="J180" s="28" t="str">
        <f t="shared" si="6"/>
        <v>=</v>
      </c>
      <c r="K180" s="37">
        <f>K85</f>
        <v>12</v>
      </c>
      <c r="L180" s="31" t="s">
        <v>129</v>
      </c>
      <c r="M180" s="4"/>
      <c r="N180" s="4"/>
    </row>
    <row r="181" spans="1:14">
      <c r="A181" s="4" t="s">
        <v>87</v>
      </c>
      <c r="B181" s="4"/>
      <c r="C181" s="4"/>
      <c r="D181" s="4"/>
      <c r="E181" s="4"/>
      <c r="F181" s="4"/>
      <c r="G181" s="4"/>
      <c r="H181" s="4"/>
      <c r="I181" s="4" t="s">
        <v>114</v>
      </c>
      <c r="J181" s="28" t="str">
        <f t="shared" si="6"/>
        <v>=</v>
      </c>
      <c r="K181" s="38">
        <f>K118</f>
        <v>5.5955199197425145</v>
      </c>
      <c r="L181" s="31" t="s">
        <v>148</v>
      </c>
      <c r="M181" s="4">
        <f>K181*4.44822*(100/2.54)</f>
        <v>979.92533926760041</v>
      </c>
      <c r="N181" s="23" t="s">
        <v>267</v>
      </c>
    </row>
    <row r="182" spans="1:14">
      <c r="A182" s="4" t="s">
        <v>51</v>
      </c>
      <c r="B182" s="4"/>
      <c r="C182" s="4"/>
      <c r="D182" s="4"/>
      <c r="E182" s="4"/>
      <c r="F182" s="4"/>
      <c r="G182" s="4"/>
      <c r="H182" s="4"/>
      <c r="I182" s="4" t="s">
        <v>122</v>
      </c>
      <c r="J182" s="28" t="str">
        <f t="shared" si="6"/>
        <v>=</v>
      </c>
      <c r="K182" s="38">
        <f>K122</f>
        <v>55.955199197425145</v>
      </c>
      <c r="L182" s="31" t="s">
        <v>148</v>
      </c>
      <c r="M182" s="4">
        <f>K182*4.44822*(100/2.54)</f>
        <v>9799.2533926760043</v>
      </c>
      <c r="N182" s="23" t="s">
        <v>267</v>
      </c>
    </row>
    <row r="183" spans="1:14">
      <c r="A183" s="4" t="s">
        <v>88</v>
      </c>
      <c r="B183" s="4"/>
      <c r="C183" s="4"/>
      <c r="D183" s="4"/>
      <c r="E183" s="4"/>
      <c r="F183" s="4"/>
      <c r="G183" s="4"/>
      <c r="H183" s="4"/>
      <c r="I183" s="4" t="s">
        <v>115</v>
      </c>
      <c r="J183" s="28" t="str">
        <f t="shared" si="6"/>
        <v>=</v>
      </c>
      <c r="K183" s="37">
        <f>K123</f>
        <v>23.036709880151403</v>
      </c>
      <c r="L183" s="31" t="s">
        <v>133</v>
      </c>
      <c r="M183" s="4">
        <f>K183*4.44822</f>
        <v>102.47235362308707</v>
      </c>
      <c r="N183" s="23" t="s">
        <v>268</v>
      </c>
    </row>
    <row r="184" spans="1:14">
      <c r="A184" s="4" t="s">
        <v>264</v>
      </c>
      <c r="B184" s="4"/>
      <c r="C184" s="4"/>
      <c r="D184" s="4"/>
      <c r="E184" s="4"/>
      <c r="F184" s="4"/>
      <c r="G184" s="4"/>
      <c r="H184" s="4"/>
      <c r="I184" s="4" t="s">
        <v>116</v>
      </c>
      <c r="J184" s="28" t="str">
        <f t="shared" si="6"/>
        <v>=</v>
      </c>
      <c r="K184" s="37">
        <f>K124</f>
        <v>25.596344311279335</v>
      </c>
      <c r="L184" s="31" t="s">
        <v>133</v>
      </c>
      <c r="M184" s="4">
        <f>K184*4.44822</f>
        <v>113.85817069231896</v>
      </c>
      <c r="N184" s="23" t="s">
        <v>268</v>
      </c>
    </row>
    <row r="185" spans="1:14">
      <c r="A185" s="4" t="s">
        <v>89</v>
      </c>
      <c r="B185" s="4"/>
      <c r="C185" s="4"/>
      <c r="D185" s="4"/>
      <c r="E185" s="4"/>
      <c r="F185" s="4"/>
      <c r="G185" s="4"/>
      <c r="H185" s="4"/>
      <c r="I185" s="4" t="s">
        <v>214</v>
      </c>
      <c r="J185" s="28" t="str">
        <f t="shared" si="6"/>
        <v>=</v>
      </c>
      <c r="K185" s="38">
        <f>K125</f>
        <v>0.45744353837377072</v>
      </c>
      <c r="L185" s="31" t="s">
        <v>129</v>
      </c>
      <c r="M185" s="4"/>
      <c r="N185" s="4"/>
    </row>
    <row r="186" spans="1:14">
      <c r="A186" s="4" t="s">
        <v>90</v>
      </c>
      <c r="B186" s="4"/>
      <c r="C186" s="4"/>
      <c r="D186" s="4"/>
      <c r="E186" s="4"/>
      <c r="F186" s="4"/>
      <c r="G186" s="4"/>
      <c r="H186" s="4"/>
      <c r="I186" s="4" t="s">
        <v>265</v>
      </c>
      <c r="J186" s="40" t="str">
        <f t="shared" si="6"/>
        <v>=</v>
      </c>
      <c r="K186" s="35">
        <f>K107</f>
        <v>12757.236528222213</v>
      </c>
      <c r="L186" s="31" t="s">
        <v>148</v>
      </c>
      <c r="M186" s="4">
        <f>K186*4.44822*(100/2.54)</f>
        <v>2234133.6484082132</v>
      </c>
      <c r="N186" s="23" t="s">
        <v>267</v>
      </c>
    </row>
    <row r="187" spans="1:14">
      <c r="A187" s="4" t="s">
        <v>56</v>
      </c>
      <c r="B187" s="4"/>
      <c r="C187" s="4"/>
      <c r="D187" s="4"/>
      <c r="E187" s="4"/>
      <c r="F187" s="4"/>
      <c r="G187" s="4"/>
      <c r="H187" s="4"/>
      <c r="I187" s="4" t="s">
        <v>215</v>
      </c>
      <c r="J187" s="28" t="str">
        <f t="shared" si="6"/>
        <v>=</v>
      </c>
      <c r="K187" s="36">
        <f>K127</f>
        <v>56.609829398606493</v>
      </c>
      <c r="L187" s="31" t="s">
        <v>133</v>
      </c>
      <c r="M187" s="4"/>
      <c r="N187" s="4"/>
    </row>
    <row r="188" spans="1:14">
      <c r="A188" s="4" t="s">
        <v>91</v>
      </c>
      <c r="B188" s="4"/>
      <c r="C188" s="4"/>
      <c r="D188" s="4"/>
      <c r="E188" s="4"/>
      <c r="F188" s="4"/>
      <c r="G188" s="4"/>
      <c r="H188" s="4"/>
      <c r="I188" s="4" t="s">
        <v>216</v>
      </c>
      <c r="J188" s="28" t="str">
        <f t="shared" si="6"/>
        <v>=</v>
      </c>
      <c r="K188" s="38">
        <f>K128</f>
        <v>9.4349715664344149</v>
      </c>
      <c r="L188" s="31" t="s">
        <v>148</v>
      </c>
      <c r="M188" s="4">
        <f>K188*4.44822*(100/2.54)</f>
        <v>1652.3161110726337</v>
      </c>
      <c r="N188" s="23" t="s">
        <v>267</v>
      </c>
    </row>
    <row r="189" spans="1:14">
      <c r="A189" s="4" t="s">
        <v>92</v>
      </c>
      <c r="B189" s="4"/>
      <c r="C189" s="4"/>
      <c r="D189" s="4"/>
      <c r="E189" s="4"/>
      <c r="F189" s="4"/>
      <c r="G189" s="4"/>
      <c r="H189" s="4"/>
      <c r="I189" s="4" t="s">
        <v>217</v>
      </c>
      <c r="J189" s="28" t="str">
        <f t="shared" si="6"/>
        <v>=</v>
      </c>
      <c r="K189" s="37">
        <f>K129</f>
        <v>510.72906080336782</v>
      </c>
      <c r="L189" s="31" t="s">
        <v>156</v>
      </c>
      <c r="M189" s="4"/>
      <c r="N189" s="4"/>
    </row>
    <row r="190" spans="1:14" ht="15.6">
      <c r="A190" s="4" t="s">
        <v>93</v>
      </c>
      <c r="B190" s="4"/>
      <c r="C190" s="4"/>
      <c r="D190" s="4"/>
      <c r="E190" s="4"/>
      <c r="F190" s="4"/>
      <c r="G190" s="4"/>
      <c r="H190" s="4"/>
      <c r="I190" s="6" t="s">
        <v>252</v>
      </c>
      <c r="J190" s="28" t="str">
        <f t="shared" si="6"/>
        <v>=</v>
      </c>
      <c r="K190" s="36">
        <f>K130</f>
        <v>0.23931372422736324</v>
      </c>
      <c r="L190" s="31"/>
      <c r="M190" s="4"/>
      <c r="N190" s="4"/>
    </row>
    <row r="191" spans="1:14" ht="15.6">
      <c r="A191" s="4" t="s">
        <v>94</v>
      </c>
      <c r="B191" s="4"/>
      <c r="C191" s="4"/>
      <c r="D191" s="4"/>
      <c r="E191" s="4"/>
      <c r="F191" s="4"/>
      <c r="G191" s="4"/>
      <c r="H191" s="4"/>
      <c r="I191" s="6" t="s">
        <v>253</v>
      </c>
      <c r="J191" s="28" t="str">
        <f t="shared" si="6"/>
        <v>=</v>
      </c>
      <c r="K191" s="38">
        <f>K131</f>
        <v>1.0593220338983051</v>
      </c>
      <c r="L191" s="31"/>
      <c r="M191" s="4"/>
      <c r="N191" s="4"/>
    </row>
    <row r="192" spans="1:14" ht="15.6">
      <c r="A192" s="4" t="s">
        <v>95</v>
      </c>
      <c r="B192" s="4"/>
      <c r="C192" s="4"/>
      <c r="D192" s="4"/>
      <c r="E192" s="4"/>
      <c r="F192" s="4"/>
      <c r="G192" s="4"/>
      <c r="H192" s="4"/>
      <c r="I192" s="6" t="s">
        <v>256</v>
      </c>
      <c r="J192" s="28" t="str">
        <f t="shared" si="6"/>
        <v>=</v>
      </c>
      <c r="K192" s="38">
        <f>K138</f>
        <v>2.1186440677966103</v>
      </c>
      <c r="L192" s="31"/>
      <c r="M192" s="4"/>
      <c r="N192" s="4"/>
    </row>
    <row r="193" spans="1:14">
      <c r="A193" s="4" t="s">
        <v>96</v>
      </c>
      <c r="B193" s="4"/>
      <c r="C193" s="4"/>
      <c r="D193" s="4"/>
      <c r="E193" s="4"/>
      <c r="F193" s="4"/>
      <c r="G193" s="28" t="s">
        <v>218</v>
      </c>
      <c r="H193" s="28"/>
      <c r="I193" s="28"/>
      <c r="J193" s="28" t="str">
        <f t="shared" si="6"/>
        <v>=</v>
      </c>
      <c r="K193" s="35">
        <f>K149</f>
        <v>1321.2704032275769</v>
      </c>
      <c r="L193" s="31" t="s">
        <v>133</v>
      </c>
      <c r="M193" s="4">
        <f>K193*4.44822</f>
        <v>5877.3014330449723</v>
      </c>
      <c r="N193" s="4" t="s">
        <v>268</v>
      </c>
    </row>
    <row r="194" spans="1:14">
      <c r="A194" s="4" t="s">
        <v>97</v>
      </c>
      <c r="B194" s="4"/>
      <c r="C194" s="4"/>
      <c r="D194" s="4"/>
      <c r="E194" s="4"/>
      <c r="F194" s="4"/>
      <c r="G194" s="28" t="s">
        <v>219</v>
      </c>
      <c r="H194" s="28"/>
      <c r="I194" s="28"/>
      <c r="J194" s="28" t="str">
        <f t="shared" si="6"/>
        <v>=</v>
      </c>
      <c r="K194" s="34">
        <f>K160</f>
        <v>1856.507429039176</v>
      </c>
      <c r="L194" s="6" t="s">
        <v>133</v>
      </c>
      <c r="M194" s="4">
        <f>K194*4.44822</f>
        <v>8258.1534760006434</v>
      </c>
      <c r="N194" s="4" t="s">
        <v>268</v>
      </c>
    </row>
    <row r="195" spans="1:14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>
      <c r="A196" s="4"/>
      <c r="B196" s="4"/>
      <c r="C196" s="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>
      <c r="A373" s="1"/>
      <c r="B373" s="1"/>
      <c r="C373" s="1"/>
    </row>
    <row r="374" spans="1:14">
      <c r="A374" s="1"/>
      <c r="B374" s="1"/>
      <c r="C374" s="1"/>
    </row>
  </sheetData>
  <mergeCells count="39">
    <mergeCell ref="A135:C135"/>
    <mergeCell ref="E135:G135"/>
    <mergeCell ref="H135:I135"/>
    <mergeCell ref="F160:I160"/>
    <mergeCell ref="F144:I144"/>
    <mergeCell ref="G145:I145"/>
    <mergeCell ref="E146:F146"/>
    <mergeCell ref="G146:I146"/>
    <mergeCell ref="E147:F147"/>
    <mergeCell ref="G147:I147"/>
    <mergeCell ref="E148:F148"/>
    <mergeCell ref="G148:I148"/>
    <mergeCell ref="F153:I153"/>
    <mergeCell ref="F154:I154"/>
    <mergeCell ref="A156:M156"/>
    <mergeCell ref="E136:G136"/>
    <mergeCell ref="H136:I136"/>
    <mergeCell ref="G105:I105"/>
    <mergeCell ref="G106:J106"/>
    <mergeCell ref="E107:G107"/>
    <mergeCell ref="F114:J114"/>
    <mergeCell ref="E128:G128"/>
    <mergeCell ref="E129:G129"/>
    <mergeCell ref="E130:H130"/>
    <mergeCell ref="E134:G134"/>
    <mergeCell ref="E104:F104"/>
    <mergeCell ref="A1:N1"/>
    <mergeCell ref="D25:J25"/>
    <mergeCell ref="E65:I65"/>
    <mergeCell ref="D82:I82"/>
    <mergeCell ref="E84:I84"/>
    <mergeCell ref="E85:I85"/>
    <mergeCell ref="D95:I95"/>
    <mergeCell ref="E99:F99"/>
    <mergeCell ref="E100:F100"/>
    <mergeCell ref="E101:F101"/>
    <mergeCell ref="E102:F102"/>
    <mergeCell ref="F22:H22"/>
    <mergeCell ref="F64:H64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KD=640</vt:lpstr>
      <vt:lpstr>KD=920</vt:lpstr>
      <vt:lpstr>KD=980</vt:lpstr>
    </vt:vector>
  </TitlesOfParts>
  <Company>MVPLTD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MAGNUM</dc:creator>
  <cp:lastModifiedBy>Ashtha</cp:lastModifiedBy>
  <cp:lastPrinted>2011-04-05T14:11:23Z</cp:lastPrinted>
  <dcterms:created xsi:type="dcterms:W3CDTF">2010-07-17T11:36:52Z</dcterms:created>
  <dcterms:modified xsi:type="dcterms:W3CDTF">2011-05-05T10:55:15Z</dcterms:modified>
</cp:coreProperties>
</file>